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555" windowHeight="7185" activeTab="1"/>
  </bookViews>
  <sheets>
    <sheet name="SVODY" sheetId="12" r:id="rId1"/>
    <sheet name="deš" sheetId="13" r:id="rId2"/>
    <sheet name="BIL VOD" sheetId="5" r:id="rId3"/>
    <sheet name="DES_SVODY" sheetId="11" r:id="rId4"/>
    <sheet name="POSUDEK PŘÍPOJKY" sheetId="8" r:id="rId5"/>
    <sheet name="Potřeba tepla" sheetId="6" r:id="rId6"/>
    <sheet name="akumulace TV" sheetId="10" r:id="rId7"/>
  </sheets>
  <calcPr calcId="152511"/>
</workbook>
</file>

<file path=xl/calcChain.xml><?xml version="1.0" encoding="utf-8"?>
<calcChain xmlns="http://schemas.openxmlformats.org/spreadsheetml/2006/main">
  <c r="D6" i="13" l="1"/>
  <c r="S6" i="12"/>
  <c r="S7" i="12"/>
  <c r="S8" i="12"/>
  <c r="S9" i="12"/>
  <c r="S5" i="12"/>
  <c r="N7" i="12"/>
  <c r="F7" i="13"/>
  <c r="F8" i="13"/>
  <c r="D12" i="13"/>
  <c r="F16" i="13"/>
  <c r="B17" i="13"/>
  <c r="G5" i="12"/>
  <c r="H5" i="12" s="1"/>
  <c r="I5" i="12" s="1"/>
  <c r="N5" i="12"/>
  <c r="O5" i="12"/>
  <c r="T5" i="12"/>
  <c r="G6" i="12"/>
  <c r="H6" i="12" s="1"/>
  <c r="I6" i="12" s="1"/>
  <c r="N6" i="12"/>
  <c r="O6" i="12"/>
  <c r="T6" i="12"/>
  <c r="O7" i="12"/>
  <c r="T7" i="12"/>
  <c r="T8" i="12"/>
  <c r="T9" i="12"/>
  <c r="D16" i="12"/>
  <c r="F6" i="13" s="1"/>
  <c r="F9" i="13" s="1"/>
  <c r="F17" i="13" s="1"/>
  <c r="F18" i="13" s="1"/>
  <c r="G21" i="12"/>
  <c r="G27" i="12"/>
  <c r="G25" i="12" s="1"/>
  <c r="G20" i="12" s="1"/>
  <c r="G22" i="12" s="1"/>
  <c r="F13" i="13" l="1"/>
  <c r="P10" i="10" l="1"/>
  <c r="M10" i="10"/>
  <c r="L10" i="10"/>
  <c r="P9" i="10"/>
  <c r="M9" i="10"/>
  <c r="L9" i="10"/>
  <c r="L11" i="10" s="1"/>
  <c r="P11" i="10"/>
  <c r="M11" i="10"/>
  <c r="D6" i="10"/>
  <c r="L4" i="10" s="1"/>
  <c r="P17" i="10"/>
  <c r="P18" i="10"/>
  <c r="P19" i="10"/>
  <c r="P16" i="10"/>
  <c r="P15" i="10"/>
  <c r="P14" i="10"/>
  <c r="P13" i="10"/>
  <c r="P12" i="10"/>
  <c r="P8" i="10"/>
  <c r="P7" i="10"/>
  <c r="P6" i="10"/>
  <c r="D5" i="10"/>
  <c r="M5" i="10" s="1"/>
  <c r="M4" i="10" l="1"/>
  <c r="M14" i="10"/>
  <c r="M8" i="10"/>
  <c r="M7" i="10"/>
  <c r="M12" i="10"/>
  <c r="M6" i="10"/>
  <c r="M15" i="10"/>
  <c r="K5" i="10"/>
  <c r="L5" i="10" s="1"/>
  <c r="L6" i="10" s="1"/>
  <c r="L7" i="10" s="1"/>
  <c r="L8" i="10" s="1"/>
  <c r="M13" i="10"/>
  <c r="G14" i="5"/>
  <c r="G31" i="5"/>
  <c r="J12" i="8"/>
  <c r="J13" i="8" s="1"/>
  <c r="F12" i="8"/>
  <c r="O13" i="8"/>
  <c r="N13" i="8"/>
  <c r="M13" i="8"/>
  <c r="L13" i="8"/>
  <c r="K13" i="8"/>
  <c r="I13" i="8"/>
  <c r="H13" i="8"/>
  <c r="G13" i="8"/>
  <c r="F13" i="8"/>
  <c r="E13" i="8"/>
  <c r="D13" i="8"/>
  <c r="L12" i="10" l="1"/>
  <c r="L13" i="10" s="1"/>
  <c r="L14" i="10" s="1"/>
  <c r="L15" i="10" s="1"/>
  <c r="L16" i="10" s="1"/>
  <c r="L17" i="10" s="1"/>
  <c r="L18" i="10" s="1"/>
  <c r="L19" i="10" s="1"/>
  <c r="L20" i="10" s="1"/>
  <c r="L21" i="10" s="1"/>
  <c r="L22" i="10" s="1"/>
  <c r="L23" i="10" s="1"/>
  <c r="L24" i="10" s="1"/>
  <c r="L25" i="10" s="1"/>
  <c r="L26" i="10" s="1"/>
  <c r="L27" i="10" s="1"/>
  <c r="K6" i="10"/>
  <c r="K7" i="10" s="1"/>
  <c r="K8" i="10" s="1"/>
  <c r="K9" i="10" s="1"/>
  <c r="K10" i="10" s="1"/>
  <c r="K11" i="10" s="1"/>
  <c r="K12" i="10" s="1"/>
  <c r="K13" i="10" s="1"/>
  <c r="K14" i="10" s="1"/>
  <c r="K15" i="10" s="1"/>
  <c r="G16" i="5"/>
  <c r="G18" i="5" s="1"/>
  <c r="Y13" i="8" l="1"/>
  <c r="X13" i="8"/>
  <c r="T13" i="8"/>
  <c r="U13" i="8" s="1"/>
  <c r="P13" i="8" l="1"/>
  <c r="V13" i="8" l="1"/>
  <c r="Q13" i="8"/>
  <c r="G32" i="5" l="1"/>
  <c r="E13" i="6" s="1"/>
  <c r="E17" i="6" s="1"/>
  <c r="E24" i="6" s="1"/>
  <c r="C25" i="5"/>
  <c r="C21" i="5"/>
  <c r="G8" i="5" l="1"/>
  <c r="G5" i="5" l="1"/>
  <c r="G21" i="5"/>
  <c r="G20" i="5" s="1"/>
  <c r="G25" i="5" s="1"/>
  <c r="G24" i="5" s="1"/>
</calcChain>
</file>

<file path=xl/comments1.xml><?xml version="1.0" encoding="utf-8"?>
<comments xmlns="http://schemas.openxmlformats.org/spreadsheetml/2006/main">
  <authors>
    <author>Autor</author>
  </authors>
  <commentList>
    <comment ref="G2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PVC=0,4
ocel=0,8
litina=1,4
kamenina=1,8</t>
        </r>
      </text>
    </comment>
  </commentList>
</comments>
</file>

<file path=xl/sharedStrings.xml><?xml version="1.0" encoding="utf-8"?>
<sst xmlns="http://schemas.openxmlformats.org/spreadsheetml/2006/main" count="278" uniqueCount="225">
  <si>
    <t>specifická potřeba vody</t>
  </si>
  <si>
    <r>
      <t>Q</t>
    </r>
    <r>
      <rPr>
        <vertAlign val="subscript"/>
        <sz val="9"/>
        <color theme="1"/>
        <rFont val="Arial"/>
        <family val="2"/>
        <charset val="238"/>
      </rPr>
      <t>p</t>
    </r>
  </si>
  <si>
    <r>
      <t>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/den]</t>
    </r>
  </si>
  <si>
    <t>směrná čísla potřeby vody</t>
  </si>
  <si>
    <t>SPV</t>
  </si>
  <si>
    <r>
      <t>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/(ks.rok)]</t>
    </r>
  </si>
  <si>
    <t>Směrná čísla potřeby vody jsou převzata z příl. 12, vyhl. č. 120/2011 Sb.</t>
  </si>
  <si>
    <t>počet dní v provozu za rok</t>
  </si>
  <si>
    <t>maximální denní potřeba vody</t>
  </si>
  <si>
    <r>
      <t>Q</t>
    </r>
    <r>
      <rPr>
        <vertAlign val="subscript"/>
        <sz val="9"/>
        <color theme="1"/>
        <rFont val="Arial"/>
        <family val="2"/>
        <charset val="238"/>
      </rPr>
      <t>d</t>
    </r>
  </si>
  <si>
    <t>koeficient denní nerovnoměrnosti</t>
  </si>
  <si>
    <r>
      <t>k</t>
    </r>
    <r>
      <rPr>
        <vertAlign val="subscript"/>
        <sz val="9"/>
        <color theme="1"/>
        <rFont val="Arial"/>
        <family val="2"/>
        <charset val="238"/>
      </rPr>
      <t>d</t>
    </r>
  </si>
  <si>
    <t>[-]</t>
  </si>
  <si>
    <t>maximální hodinová spotřeba vody</t>
  </si>
  <si>
    <r>
      <t>Q</t>
    </r>
    <r>
      <rPr>
        <vertAlign val="subscript"/>
        <sz val="9"/>
        <color theme="1"/>
        <rFont val="Arial"/>
        <family val="2"/>
        <charset val="238"/>
      </rPr>
      <t>h</t>
    </r>
  </si>
  <si>
    <t>[l/s]</t>
  </si>
  <si>
    <t>koeficient hodinové nerovnoměrnosti</t>
  </si>
  <si>
    <r>
      <t>k</t>
    </r>
    <r>
      <rPr>
        <vertAlign val="subscript"/>
        <sz val="9"/>
        <color theme="1"/>
        <rFont val="Arial"/>
        <family val="2"/>
        <charset val="238"/>
      </rPr>
      <t>h</t>
    </r>
  </si>
  <si>
    <t>Spotřeba SV, množství odpadních vod</t>
  </si>
  <si>
    <t>dle ČSN EN 15316-3-1</t>
  </si>
  <si>
    <t>specifická potřeba teplé vody</t>
  </si>
  <si>
    <t>potřeba teplé vody</t>
  </si>
  <si>
    <r>
      <t>V</t>
    </r>
    <r>
      <rPr>
        <vertAlign val="subscript"/>
        <sz val="9"/>
        <color theme="1"/>
        <rFont val="Arial"/>
        <family val="2"/>
        <charset val="238"/>
      </rPr>
      <t>W,f,day</t>
    </r>
  </si>
  <si>
    <t>f</t>
  </si>
  <si>
    <r>
      <t>V</t>
    </r>
    <r>
      <rPr>
        <vertAlign val="subscript"/>
        <sz val="9"/>
        <color theme="1"/>
        <rFont val="Arial"/>
        <family val="2"/>
        <charset val="238"/>
      </rPr>
      <t>W,day</t>
    </r>
  </si>
  <si>
    <t>[os]</t>
  </si>
  <si>
    <t>[l/(MJ×den)]</t>
  </si>
  <si>
    <t>roční spotřeba</t>
  </si>
  <si>
    <r>
      <t>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/(MJ.rok)]</t>
    </r>
  </si>
  <si>
    <t>[den/rok]</t>
  </si>
  <si>
    <r>
      <t>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/(MJ.den)]</t>
    </r>
  </si>
  <si>
    <t>počet MJ</t>
  </si>
  <si>
    <t>celková specifická potřeba vody</t>
  </si>
  <si>
    <t xml:space="preserve">Bilance pitné a splaškové vody </t>
  </si>
  <si>
    <t>denní spotřeba obyvatel</t>
  </si>
  <si>
    <r>
      <t>Denní množství splaškových vod odváděných do kanalizace je určeno na základě specifické denní potřeby vody na 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/den], Q</t>
    </r>
    <r>
      <rPr>
        <vertAlign val="subscript"/>
        <sz val="9"/>
        <color theme="1"/>
        <rFont val="Arial"/>
        <family val="2"/>
        <charset val="238"/>
      </rPr>
      <t>spl</t>
    </r>
    <r>
      <rPr>
        <sz val="9"/>
        <color theme="1"/>
        <rFont val="Arial"/>
        <family val="2"/>
        <charset val="238"/>
      </rPr>
      <t>=Q</t>
    </r>
    <r>
      <rPr>
        <vertAlign val="subscript"/>
        <sz val="9"/>
        <color theme="1"/>
        <rFont val="Arial"/>
        <family val="2"/>
        <charset val="238"/>
      </rPr>
      <t>p</t>
    </r>
  </si>
  <si>
    <t>celková potřeba teplé vody</t>
  </si>
  <si>
    <t>Potřeba TV - celková</t>
  </si>
  <si>
    <t>Potřeba tepla pro přípravu TV</t>
  </si>
  <si>
    <t xml:space="preserve">koeficient energetických ztrát rozvodu </t>
  </si>
  <si>
    <t>z</t>
  </si>
  <si>
    <t>teplota studené vody na vstupu do ohřívače</t>
  </si>
  <si>
    <t>[°C]</t>
  </si>
  <si>
    <t>teplota teplé vody v ohřívači</t>
  </si>
  <si>
    <r>
      <t>t</t>
    </r>
    <r>
      <rPr>
        <vertAlign val="subscript"/>
        <sz val="10"/>
        <color theme="1"/>
        <rFont val="Arial Narrow"/>
        <family val="2"/>
        <charset val="238"/>
      </rPr>
      <t>TV</t>
    </r>
  </si>
  <si>
    <r>
      <t>t</t>
    </r>
    <r>
      <rPr>
        <vertAlign val="subscript"/>
        <sz val="10"/>
        <color theme="1"/>
        <rFont val="Arial Narrow"/>
        <family val="2"/>
        <charset val="238"/>
      </rPr>
      <t>SV</t>
    </r>
  </si>
  <si>
    <t>objemová hmotnost vody</t>
  </si>
  <si>
    <t>ρ</t>
  </si>
  <si>
    <r>
      <t>[kg/m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]</t>
    </r>
  </si>
  <si>
    <t>měrná tepelná kapacita</t>
  </si>
  <si>
    <t>c</t>
  </si>
  <si>
    <t>denní potřeba tepla na ohřev TV</t>
  </si>
  <si>
    <r>
      <t>Q</t>
    </r>
    <r>
      <rPr>
        <vertAlign val="subscript"/>
        <sz val="10"/>
        <color theme="1"/>
        <rFont val="Arial Narrow"/>
        <family val="2"/>
        <charset val="238"/>
      </rPr>
      <t>TV,d</t>
    </r>
  </si>
  <si>
    <t>[kWh]</t>
  </si>
  <si>
    <t>[kJ/(kgK)]</t>
  </si>
  <si>
    <r>
      <t>V</t>
    </r>
    <r>
      <rPr>
        <vertAlign val="subscript"/>
        <sz val="10"/>
        <color theme="1"/>
        <rFont val="Arial Narrow"/>
        <family val="2"/>
        <charset val="238"/>
      </rPr>
      <t>TV,d</t>
    </r>
  </si>
  <si>
    <r>
      <t>[m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/den]</t>
    </r>
  </si>
  <si>
    <t>teplota studené vody v létě</t>
  </si>
  <si>
    <t>teplota studené vody v zimě</t>
  </si>
  <si>
    <t>počet pracovních dní soustavy</t>
  </si>
  <si>
    <t>N</t>
  </si>
  <si>
    <t>[dny]</t>
  </si>
  <si>
    <t>délka otopného období</t>
  </si>
  <si>
    <t>d</t>
  </si>
  <si>
    <r>
      <t>t</t>
    </r>
    <r>
      <rPr>
        <vertAlign val="subscript"/>
        <sz val="10"/>
        <color theme="1"/>
        <rFont val="Arial Narrow"/>
        <family val="2"/>
        <charset val="238"/>
      </rPr>
      <t>SV,L</t>
    </r>
  </si>
  <si>
    <r>
      <t>t</t>
    </r>
    <r>
      <rPr>
        <vertAlign val="subscript"/>
        <sz val="10"/>
        <color theme="1"/>
        <rFont val="Arial Narrow"/>
        <family val="2"/>
        <charset val="238"/>
      </rPr>
      <t>SV,Z</t>
    </r>
  </si>
  <si>
    <r>
      <t>Q</t>
    </r>
    <r>
      <rPr>
        <vertAlign val="subscript"/>
        <sz val="10"/>
        <color theme="1"/>
        <rFont val="Arial Narrow"/>
        <family val="2"/>
        <charset val="238"/>
      </rPr>
      <t>TV,r</t>
    </r>
  </si>
  <si>
    <t>[MWh/rok]</t>
  </si>
  <si>
    <t>Stanovení průtočného množství vody vodovodní přípojkou</t>
  </si>
  <si>
    <t>Dle ČSN 75 5455</t>
  </si>
  <si>
    <t>provoz:</t>
  </si>
  <si>
    <t>ZP</t>
  </si>
  <si>
    <t>průtok</t>
  </si>
  <si>
    <t>dimenze</t>
  </si>
  <si>
    <t>rychlost proudění</t>
  </si>
  <si>
    <t>výtokový ventil DN15</t>
  </si>
  <si>
    <t>výtokový ventil DN20</t>
  </si>
  <si>
    <t>nádržkový splachovač</t>
  </si>
  <si>
    <t>bidet</t>
  </si>
  <si>
    <t>pračka</t>
  </si>
  <si>
    <t>myčka</t>
  </si>
  <si>
    <t>umyvadlo</t>
  </si>
  <si>
    <t>dřez</t>
  </si>
  <si>
    <t>pisoár</t>
  </si>
  <si>
    <t>sprcha</t>
  </si>
  <si>
    <t>vana</t>
  </si>
  <si>
    <t>technologie</t>
  </si>
  <si>
    <r>
      <t>Q</t>
    </r>
    <r>
      <rPr>
        <vertAlign val="subscript"/>
        <sz val="9"/>
        <color theme="1"/>
        <rFont val="Arial Narrow"/>
        <family val="2"/>
        <charset val="238"/>
      </rPr>
      <t>D</t>
    </r>
  </si>
  <si>
    <t>D</t>
  </si>
  <si>
    <t>t</t>
  </si>
  <si>
    <r>
      <t>D</t>
    </r>
    <r>
      <rPr>
        <vertAlign val="subscript"/>
        <sz val="9"/>
        <color theme="1"/>
        <rFont val="Arial Narrow"/>
        <family val="2"/>
        <charset val="238"/>
      </rPr>
      <t>in</t>
    </r>
  </si>
  <si>
    <r>
      <t>A</t>
    </r>
    <r>
      <rPr>
        <vertAlign val="subscript"/>
        <sz val="9"/>
        <color theme="1"/>
        <rFont val="Arial Narrow"/>
        <family val="2"/>
        <charset val="238"/>
      </rPr>
      <t>in</t>
    </r>
  </si>
  <si>
    <t>v</t>
  </si>
  <si>
    <t>[m3/h]</t>
  </si>
  <si>
    <t>[mm]</t>
  </si>
  <si>
    <t>[m2]</t>
  </si>
  <si>
    <t>[m/s]</t>
  </si>
  <si>
    <t>výtok</t>
  </si>
  <si>
    <t>-</t>
  </si>
  <si>
    <t>min</t>
  </si>
  <si>
    <t>max</t>
  </si>
  <si>
    <t>součinitel výtoku</t>
  </si>
  <si>
    <t>jedna arm.</t>
  </si>
  <si>
    <t>více arm.</t>
  </si>
  <si>
    <t>součinitel současnosti</t>
  </si>
  <si>
    <t>počet ZP</t>
  </si>
  <si>
    <t>potrubí PE100 D32</t>
  </si>
  <si>
    <t>[ks]</t>
  </si>
  <si>
    <r>
      <t>Q</t>
    </r>
    <r>
      <rPr>
        <vertAlign val="subscript"/>
        <sz val="9"/>
        <color theme="1"/>
        <rFont val="Arial"/>
        <family val="2"/>
        <charset val="238"/>
      </rPr>
      <t>p,14</t>
    </r>
  </si>
  <si>
    <r>
      <t>Q</t>
    </r>
    <r>
      <rPr>
        <vertAlign val="subscript"/>
        <sz val="9"/>
        <color theme="1"/>
        <rFont val="Arial"/>
        <family val="2"/>
        <charset val="238"/>
      </rPr>
      <t>p</t>
    </r>
    <r>
      <rPr>
        <sz val="9"/>
        <color theme="1"/>
        <rFont val="Arial"/>
        <family val="2"/>
        <charset val="238"/>
      </rPr>
      <t/>
    </r>
  </si>
  <si>
    <t>Dvůr Králové</t>
  </si>
  <si>
    <t>Objekt a nárazovým odběrem</t>
  </si>
  <si>
    <t>použitý výpočtový vztah:
ČSN 75 54 55 - c)</t>
  </si>
  <si>
    <t>V. KULTURNÍ A OSVĚTOVÉ PODNIKY, SPORTOVNÍ ZAŘÍZENÍ</t>
  </si>
  <si>
    <t>32. spotřeba vody na jednoho návštěvníka</t>
  </si>
  <si>
    <r>
      <t xml:space="preserve">počet měrných jednotek
</t>
    </r>
    <r>
      <rPr>
        <i/>
        <sz val="9"/>
        <color theme="1"/>
        <rFont val="Arial"/>
        <family val="2"/>
        <charset val="238"/>
      </rPr>
      <t>(instalovaných sprch)</t>
    </r>
  </si>
  <si>
    <t>Provozní doba:</t>
  </si>
  <si>
    <t>8:30-20:00</t>
  </si>
  <si>
    <t>Doba odběru TV:</t>
  </si>
  <si>
    <t>hod</t>
  </si>
  <si>
    <t>celkový odběr vody:</t>
  </si>
  <si>
    <t>l</t>
  </si>
  <si>
    <t>akumulovaný objem vody:</t>
  </si>
  <si>
    <t>křivka odběru:</t>
  </si>
  <si>
    <t>[l]</t>
  </si>
  <si>
    <t>rychlost ohřevu:</t>
  </si>
  <si>
    <t>kW</t>
  </si>
  <si>
    <t>Sepnutí 1. patrony</t>
  </si>
  <si>
    <t>Sepnutí 1. i 2. patrony</t>
  </si>
  <si>
    <t>akumulace TV</t>
  </si>
  <si>
    <t>příkon ESIL</t>
  </si>
  <si>
    <t>[kW]</t>
  </si>
  <si>
    <t>konec</t>
  </si>
  <si>
    <t>začátek</t>
  </si>
  <si>
    <t>Vypnutí patron</t>
  </si>
  <si>
    <t>hodinová potřeba TV, maximální</t>
  </si>
  <si>
    <t>denní odběr TV</t>
  </si>
  <si>
    <t>RDU 18-6</t>
  </si>
  <si>
    <t>přes retenci</t>
  </si>
  <si>
    <t>0,5 l/s</t>
  </si>
  <si>
    <t>R</t>
  </si>
  <si>
    <t>Podíl průtočné plochy a omočeného obvodu potrubí</t>
  </si>
  <si>
    <r>
      <t>[m</t>
    </r>
    <r>
      <rPr>
        <vertAlign val="superscript"/>
        <sz val="10"/>
        <color theme="1"/>
        <rFont val="Arial Narrow"/>
        <family val="2"/>
        <charset val="238"/>
      </rPr>
      <t>0,5</t>
    </r>
    <r>
      <rPr>
        <sz val="10"/>
        <color theme="1"/>
        <rFont val="Arial Narrow"/>
        <family val="2"/>
        <charset val="238"/>
      </rPr>
      <t>/s]</t>
    </r>
  </si>
  <si>
    <t>Rychlostní součinitel</t>
  </si>
  <si>
    <t>[%]</t>
  </si>
  <si>
    <t>h</t>
  </si>
  <si>
    <t>Maximální dovolené plnění</t>
  </si>
  <si>
    <r>
      <t>k</t>
    </r>
    <r>
      <rPr>
        <vertAlign val="subscript"/>
        <sz val="10"/>
        <color theme="1"/>
        <rFont val="Arial Narrow"/>
        <family val="2"/>
        <charset val="238"/>
      </rPr>
      <t>ser</t>
    </r>
  </si>
  <si>
    <t>Hydraulická drsnost potrubí</t>
  </si>
  <si>
    <t>[°]</t>
  </si>
  <si>
    <t>I</t>
  </si>
  <si>
    <t>Sklon potrubí</t>
  </si>
  <si>
    <r>
      <t>d'</t>
    </r>
    <r>
      <rPr>
        <vertAlign val="subscript"/>
        <sz val="10"/>
        <color theme="1"/>
        <rFont val="Arial Narrow"/>
        <family val="2"/>
        <charset val="238"/>
      </rPr>
      <t>in</t>
    </r>
  </si>
  <si>
    <t>[m]</t>
  </si>
  <si>
    <r>
      <t>D</t>
    </r>
    <r>
      <rPr>
        <vertAlign val="subscript"/>
        <sz val="10"/>
        <color theme="1"/>
        <rFont val="Arial Narrow"/>
        <family val="2"/>
        <charset val="238"/>
      </rPr>
      <t>in</t>
    </r>
  </si>
  <si>
    <t>DN</t>
  </si>
  <si>
    <t>zvolené DN potrubí</t>
  </si>
  <si>
    <r>
      <t>Q</t>
    </r>
    <r>
      <rPr>
        <vertAlign val="subscript"/>
        <sz val="10"/>
        <color theme="1"/>
        <rFont val="Arial Narrow"/>
        <family val="2"/>
        <charset val="238"/>
      </rPr>
      <t>max</t>
    </r>
  </si>
  <si>
    <t>Maximální dovolený průtok potrubím</t>
  </si>
  <si>
    <t>Rychlost proudění</t>
  </si>
  <si>
    <r>
      <t>[m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>]</t>
    </r>
  </si>
  <si>
    <t>S</t>
  </si>
  <si>
    <t>Průtočný průřez</t>
  </si>
  <si>
    <t>Návrh svodného potrubí</t>
  </si>
  <si>
    <t>napřímo</t>
  </si>
  <si>
    <t>2,6 l/s</t>
  </si>
  <si>
    <t>*tyto hodnoty jsou použity pro návrh svodů</t>
  </si>
  <si>
    <t>**limitní plocha pro návrh dle ČSN 75 9010</t>
  </si>
  <si>
    <t>*limitní plocha pro návrh dle ČSN EN 12056</t>
  </si>
  <si>
    <t>*limitní plochy pro součinitel odtoku 1,0</t>
  </si>
  <si>
    <t>střecha</t>
  </si>
  <si>
    <t>KD02</t>
  </si>
  <si>
    <t>KD01</t>
  </si>
  <si>
    <r>
      <t>A
[m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>]</t>
    </r>
  </si>
  <si>
    <t>limitní plocha*</t>
  </si>
  <si>
    <t>dimenze svodu
DN
[mm]</t>
  </si>
  <si>
    <r>
      <t>průtok dešťových vod
Q</t>
    </r>
    <r>
      <rPr>
        <vertAlign val="subscript"/>
        <sz val="10"/>
        <color theme="1"/>
        <rFont val="Arial Narrow"/>
        <family val="2"/>
        <charset val="238"/>
      </rPr>
      <t>r</t>
    </r>
    <r>
      <rPr>
        <sz val="10"/>
        <color theme="1"/>
        <rFont val="Arial Narrow"/>
        <family val="2"/>
        <charset val="238"/>
      </rPr>
      <t xml:space="preserve"> [l/s]</t>
    </r>
  </si>
  <si>
    <r>
      <t>A</t>
    </r>
    <r>
      <rPr>
        <vertAlign val="subscript"/>
        <sz val="10"/>
        <color theme="1"/>
        <rFont val="Arial Narrow"/>
        <family val="2"/>
        <charset val="238"/>
      </rPr>
      <t>svod</t>
    </r>
    <r>
      <rPr>
        <sz val="10"/>
        <color theme="1"/>
        <rFont val="Arial Narrow"/>
        <family val="2"/>
        <charset val="238"/>
      </rPr>
      <t xml:space="preserve">
[mm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>]</t>
    </r>
  </si>
  <si>
    <t>DN
[mm]</t>
  </si>
  <si>
    <r>
      <t>odtok dešťových vod
Q</t>
    </r>
    <r>
      <rPr>
        <vertAlign val="subscript"/>
        <sz val="10"/>
        <color theme="1"/>
        <rFont val="Arial Narrow"/>
        <family val="2"/>
        <charset val="238"/>
      </rPr>
      <t>r</t>
    </r>
    <r>
      <rPr>
        <sz val="10"/>
        <color theme="1"/>
        <rFont val="Arial Narrow"/>
        <family val="2"/>
        <charset val="238"/>
      </rPr>
      <t xml:space="preserve"> [l/s]</t>
    </r>
  </si>
  <si>
    <r>
      <t>inzenzita srážek
i [l/(s×m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>)]</t>
    </r>
  </si>
  <si>
    <t>koeficient odtoku
Ψ [-]</t>
  </si>
  <si>
    <r>
      <t>půdorysný průmět odvodňované plochy
A [m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>]</t>
    </r>
  </si>
  <si>
    <t>podlaží</t>
  </si>
  <si>
    <t>svod</t>
  </si>
  <si>
    <t>Tabulka limitů</t>
  </si>
  <si>
    <t>TABULKA DEŠŤOVÝCH SVODŮ</t>
  </si>
  <si>
    <t>Tabulka limitů dle ČSN 75 6760</t>
  </si>
  <si>
    <t>Tabulka limitů dle ČSN EN 12056-3</t>
  </si>
  <si>
    <t>Tabulka dle intenzity ČSN EN 12056</t>
  </si>
  <si>
    <r>
      <t>Q = r × A</t>
    </r>
    <r>
      <rPr>
        <i/>
        <vertAlign val="subscript"/>
        <sz val="9"/>
        <color theme="1"/>
        <rFont val="Arial Narrow"/>
        <family val="2"/>
        <charset val="238"/>
      </rPr>
      <t>red</t>
    </r>
  </si>
  <si>
    <t>Q</t>
  </si>
  <si>
    <t>Odtok dešťových vod</t>
  </si>
  <si>
    <r>
      <t>[m</t>
    </r>
    <r>
      <rPr>
        <vertAlign val="superscript"/>
        <sz val="9"/>
        <color theme="1"/>
        <rFont val="Arial Narrow"/>
        <family val="2"/>
        <charset val="238"/>
      </rPr>
      <t>2</t>
    </r>
    <r>
      <rPr>
        <sz val="9"/>
        <color theme="1"/>
        <rFont val="Arial Narrow"/>
        <family val="2"/>
        <charset val="238"/>
      </rPr>
      <t>]</t>
    </r>
  </si>
  <si>
    <r>
      <t>A</t>
    </r>
    <r>
      <rPr>
        <vertAlign val="subscript"/>
        <sz val="9"/>
        <color theme="1"/>
        <rFont val="Arial Narrow"/>
        <family val="2"/>
        <charset val="238"/>
      </rPr>
      <t>red</t>
    </r>
  </si>
  <si>
    <r>
      <t>[l/(s.m</t>
    </r>
    <r>
      <rPr>
        <vertAlign val="superscript"/>
        <sz val="9"/>
        <color theme="1"/>
        <rFont val="Arial Narrow"/>
        <family val="2"/>
        <charset val="238"/>
      </rPr>
      <t>2</t>
    </r>
    <r>
      <rPr>
        <sz val="9"/>
        <color theme="1"/>
        <rFont val="Arial Narrow"/>
        <family val="2"/>
        <charset val="238"/>
      </rPr>
      <t>)]</t>
    </r>
  </si>
  <si>
    <t>r</t>
  </si>
  <si>
    <t>intenzita deště</t>
  </si>
  <si>
    <r>
      <t>[rok</t>
    </r>
    <r>
      <rPr>
        <vertAlign val="superscript"/>
        <sz val="9"/>
        <color theme="1"/>
        <rFont val="Arial Narrow"/>
        <family val="2"/>
        <charset val="238"/>
      </rPr>
      <t>-1</t>
    </r>
    <r>
      <rPr>
        <sz val="9"/>
        <color theme="1"/>
        <rFont val="Arial Narrow"/>
        <family val="2"/>
        <charset val="238"/>
      </rPr>
      <t>]</t>
    </r>
  </si>
  <si>
    <t>P</t>
  </si>
  <si>
    <t>periodicita deště</t>
  </si>
  <si>
    <t>[m3/rok]</t>
  </si>
  <si>
    <r>
      <t>Q</t>
    </r>
    <r>
      <rPr>
        <vertAlign val="subscript"/>
        <sz val="9"/>
        <color theme="1"/>
        <rFont val="Arial Narrow"/>
        <family val="2"/>
        <charset val="238"/>
      </rPr>
      <t>r</t>
    </r>
  </si>
  <si>
    <t>Roční množství odváděných srážkových vod</t>
  </si>
  <si>
    <t>[m/rok]</t>
  </si>
  <si>
    <t>[mm/rok]</t>
  </si>
  <si>
    <t>dlouhodobý srážkový normál</t>
  </si>
  <si>
    <t>Český hydrometeorologický ústav</t>
  </si>
  <si>
    <t>Data VHSKH, a.s.:</t>
  </si>
  <si>
    <t>∑</t>
  </si>
  <si>
    <t>plochy kryté vegetací</t>
  </si>
  <si>
    <t>C</t>
  </si>
  <si>
    <t>lehce propustné zpevněné plochy</t>
  </si>
  <si>
    <t>B</t>
  </si>
  <si>
    <t>zastavěné a těžce propustné zpevněné plochy</t>
  </si>
  <si>
    <t>A</t>
  </si>
  <si>
    <t>φ</t>
  </si>
  <si>
    <t>redukovaná plocha</t>
  </si>
  <si>
    <t>odtokový součinitel</t>
  </si>
  <si>
    <t>plocha</t>
  </si>
  <si>
    <t>Druh plochy</t>
  </si>
  <si>
    <t>Množství dešťových vod dle vyhl. č. 428/2001 Sb.</t>
  </si>
  <si>
    <t>Odvodňované plochy</t>
  </si>
  <si>
    <t>Lokalita:</t>
  </si>
  <si>
    <t>Králův Dvůr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</si>
</sst>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0.000"/>
    <numFmt numFmtId="165" formatCode="0.0"/>
    <numFmt numFmtId="166" formatCode="0.0000"/>
    <numFmt numFmtId="167" formatCode="0.000000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color theme="1"/>
      <name val="Arial Black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vertAlign val="subscript"/>
      <sz val="9"/>
      <color theme="1"/>
      <name val="Arial Narrow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i/>
      <sz val="9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vertAlign val="subscript"/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b/>
      <sz val="9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264">
    <xf numFmtId="0" fontId="0" fillId="0" borderId="0" xfId="0"/>
    <xf numFmtId="0" fontId="1" fillId="2" borderId="2" xfId="0" applyFont="1" applyFill="1" applyBorder="1"/>
    <xf numFmtId="0" fontId="2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/>
    <xf numFmtId="0" fontId="1" fillId="2" borderId="0" xfId="0" applyFont="1" applyFill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6" xfId="0" applyFont="1" applyFill="1" applyBorder="1"/>
    <xf numFmtId="0" fontId="1" fillId="2" borderId="24" xfId="0" applyFont="1" applyFill="1" applyBorder="1"/>
    <xf numFmtId="0" fontId="1" fillId="2" borderId="25" xfId="0" applyFont="1" applyFill="1" applyBorder="1" applyAlignment="1">
      <alignment horizontal="center"/>
    </xf>
    <xf numFmtId="164" fontId="4" fillId="2" borderId="26" xfId="0" applyNumberFormat="1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6" fillId="2" borderId="15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16" xfId="0" applyFont="1" applyFill="1" applyBorder="1"/>
    <xf numFmtId="0" fontId="1" fillId="2" borderId="3" xfId="0" applyFont="1" applyFill="1" applyBorder="1" applyAlignment="1">
      <alignment horizontal="right"/>
    </xf>
    <xf numFmtId="0" fontId="1" fillId="2" borderId="17" xfId="0" applyFont="1" applyFill="1" applyBorder="1"/>
    <xf numFmtId="0" fontId="1" fillId="2" borderId="18" xfId="0" applyFont="1" applyFill="1" applyBorder="1"/>
    <xf numFmtId="0" fontId="1" fillId="2" borderId="0" xfId="0" applyFont="1" applyFill="1" applyBorder="1" applyAlignment="1">
      <alignment horizontal="right"/>
    </xf>
    <xf numFmtId="0" fontId="1" fillId="2" borderId="21" xfId="0" applyFont="1" applyFill="1" applyBorder="1"/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/>
    <xf numFmtId="0" fontId="1" fillId="2" borderId="10" xfId="0" applyFont="1" applyFill="1" applyBorder="1"/>
    <xf numFmtId="0" fontId="1" fillId="2" borderId="11" xfId="0" applyFont="1" applyFill="1" applyBorder="1" applyAlignment="1">
      <alignment horizontal="center"/>
    </xf>
    <xf numFmtId="164" fontId="4" fillId="2" borderId="12" xfId="0" applyNumberFormat="1" applyFont="1" applyFill="1" applyBorder="1"/>
    <xf numFmtId="0" fontId="1" fillId="2" borderId="19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20" xfId="0" applyNumberFormat="1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 applyBorder="1"/>
    <xf numFmtId="0" fontId="1" fillId="2" borderId="26" xfId="0" applyFont="1" applyFill="1" applyBorder="1"/>
    <xf numFmtId="0" fontId="4" fillId="2" borderId="23" xfId="0" applyFont="1" applyFill="1" applyBorder="1"/>
    <xf numFmtId="0" fontId="1" fillId="2" borderId="0" xfId="0" applyFont="1" applyFill="1" applyAlignment="1">
      <alignment vertical="top"/>
    </xf>
    <xf numFmtId="0" fontId="1" fillId="2" borderId="5" xfId="0" applyFont="1" applyFill="1" applyBorder="1" applyAlignment="1">
      <alignment vertical="top"/>
    </xf>
    <xf numFmtId="0" fontId="1" fillId="2" borderId="19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20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25" xfId="0" applyFont="1" applyFill="1" applyBorder="1"/>
    <xf numFmtId="0" fontId="6" fillId="2" borderId="8" xfId="0" applyFont="1" applyFill="1" applyBorder="1"/>
    <xf numFmtId="0" fontId="1" fillId="2" borderId="22" xfId="0" applyFont="1" applyFill="1" applyBorder="1"/>
    <xf numFmtId="0" fontId="1" fillId="2" borderId="1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vertical="top" wrapText="1"/>
    </xf>
    <xf numFmtId="164" fontId="1" fillId="2" borderId="18" xfId="0" applyNumberFormat="1" applyFont="1" applyFill="1" applyBorder="1"/>
    <xf numFmtId="2" fontId="1" fillId="2" borderId="23" xfId="0" applyNumberFormat="1" applyFont="1" applyFill="1" applyBorder="1"/>
    <xf numFmtId="0" fontId="2" fillId="2" borderId="0" xfId="0" applyFont="1" applyFill="1" applyBorder="1"/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7" fillId="2" borderId="28" xfId="0" applyFont="1" applyFill="1" applyBorder="1"/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2" xfId="0" applyFont="1" applyFill="1" applyBorder="1"/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/>
    <xf numFmtId="0" fontId="9" fillId="2" borderId="0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/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28" xfId="0" applyFont="1" applyFill="1" applyBorder="1" applyAlignment="1">
      <alignment vertical="top"/>
    </xf>
    <xf numFmtId="0" fontId="9" fillId="2" borderId="29" xfId="0" applyFont="1" applyFill="1" applyBorder="1" applyAlignment="1">
      <alignment horizontal="center" vertical="top"/>
    </xf>
    <xf numFmtId="165" fontId="9" fillId="2" borderId="30" xfId="0" applyNumberFormat="1" applyFont="1" applyFill="1" applyBorder="1" applyAlignment="1">
      <alignment horizontal="center" vertical="top"/>
    </xf>
    <xf numFmtId="0" fontId="9" fillId="2" borderId="0" xfId="0" applyFont="1" applyFill="1" applyAlignment="1">
      <alignment vertical="top"/>
    </xf>
    <xf numFmtId="0" fontId="13" fillId="2" borderId="3" xfId="0" applyFont="1" applyFill="1" applyBorder="1"/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/>
    <xf numFmtId="2" fontId="13" fillId="2" borderId="8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wrapText="1"/>
    </xf>
    <xf numFmtId="0" fontId="14" fillId="2" borderId="6" xfId="0" applyFont="1" applyFill="1" applyBorder="1" applyAlignment="1">
      <alignment horizontal="center" wrapTex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3" fillId="2" borderId="31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3" fillId="2" borderId="27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33" xfId="0" applyFont="1" applyFill="1" applyBorder="1" applyAlignment="1">
      <alignment horizontal="center"/>
    </xf>
    <xf numFmtId="0" fontId="14" fillId="2" borderId="4" xfId="0" applyFont="1" applyFill="1" applyBorder="1"/>
    <xf numFmtId="0" fontId="14" fillId="2" borderId="0" xfId="0" applyFont="1" applyFill="1" applyBorder="1"/>
    <xf numFmtId="0" fontId="13" fillId="2" borderId="34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164" fontId="14" fillId="2" borderId="9" xfId="0" applyNumberFormat="1" applyFont="1" applyFill="1" applyBorder="1" applyAlignment="1">
      <alignment horizontal="center"/>
    </xf>
    <xf numFmtId="164" fontId="14" fillId="2" borderId="0" xfId="0" applyNumberFormat="1" applyFont="1" applyFill="1" applyBorder="1" applyAlignment="1">
      <alignment horizontal="center"/>
    </xf>
    <xf numFmtId="164" fontId="13" fillId="2" borderId="35" xfId="0" applyNumberFormat="1" applyFont="1" applyFill="1" applyBorder="1" applyAlignment="1">
      <alignment horizontal="center"/>
    </xf>
    <xf numFmtId="164" fontId="13" fillId="2" borderId="23" xfId="0" applyNumberFormat="1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wrapText="1"/>
    </xf>
    <xf numFmtId="0" fontId="16" fillId="2" borderId="0" xfId="0" applyFont="1" applyFill="1" applyBorder="1" applyAlignment="1"/>
    <xf numFmtId="0" fontId="17" fillId="2" borderId="17" xfId="0" applyFont="1" applyFill="1" applyBorder="1" applyAlignment="1"/>
    <xf numFmtId="2" fontId="1" fillId="2" borderId="18" xfId="0" applyNumberFormat="1" applyFont="1" applyFill="1" applyBorder="1"/>
    <xf numFmtId="0" fontId="12" fillId="2" borderId="4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wrapText="1"/>
    </xf>
    <xf numFmtId="0" fontId="13" fillId="2" borderId="27" xfId="0" applyFont="1" applyFill="1" applyBorder="1" applyAlignment="1">
      <alignment horizontal="center" textRotation="90" wrapText="1"/>
    </xf>
    <xf numFmtId="0" fontId="19" fillId="2" borderId="27" xfId="0" applyFont="1" applyFill="1" applyBorder="1" applyAlignment="1">
      <alignment horizontal="center"/>
    </xf>
    <xf numFmtId="0" fontId="18" fillId="2" borderId="27" xfId="0" applyFont="1" applyFill="1" applyBorder="1" applyAlignment="1">
      <alignment horizontal="center"/>
    </xf>
    <xf numFmtId="0" fontId="13" fillId="2" borderId="17" xfId="0" applyFont="1" applyFill="1" applyBorder="1" applyAlignment="1">
      <alignment wrapText="1"/>
    </xf>
    <xf numFmtId="0" fontId="13" fillId="2" borderId="37" xfId="0" applyFont="1" applyFill="1" applyBorder="1" applyAlignment="1">
      <alignment horizontal="center" textRotation="90" wrapText="1"/>
    </xf>
    <xf numFmtId="0" fontId="13" fillId="2" borderId="15" xfId="0" applyFont="1" applyFill="1" applyBorder="1" applyAlignment="1">
      <alignment horizontal="center"/>
    </xf>
    <xf numFmtId="0" fontId="13" fillId="2" borderId="37" xfId="0" applyFont="1" applyFill="1" applyBorder="1" applyAlignment="1">
      <alignment horizontal="center" wrapText="1"/>
    </xf>
    <xf numFmtId="0" fontId="19" fillId="2" borderId="19" xfId="0" applyFont="1" applyFill="1" applyBorder="1" applyAlignment="1">
      <alignment horizontal="center"/>
    </xf>
    <xf numFmtId="0" fontId="19" fillId="2" borderId="37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 vertical="center"/>
    </xf>
    <xf numFmtId="0" fontId="18" fillId="2" borderId="37" xfId="0" applyFont="1" applyFill="1" applyBorder="1" applyAlignment="1">
      <alignment horizontal="center"/>
    </xf>
    <xf numFmtId="0" fontId="13" fillId="2" borderId="41" xfId="0" applyFont="1" applyFill="1" applyBorder="1" applyAlignment="1">
      <alignment horizontal="center"/>
    </xf>
    <xf numFmtId="0" fontId="13" fillId="2" borderId="42" xfId="0" applyFont="1" applyFill="1" applyBorder="1" applyAlignment="1">
      <alignment horizontal="center"/>
    </xf>
    <xf numFmtId="0" fontId="13" fillId="3" borderId="28" xfId="0" applyFont="1" applyFill="1" applyBorder="1" applyAlignment="1">
      <alignment horizontal="center"/>
    </xf>
    <xf numFmtId="0" fontId="14" fillId="3" borderId="29" xfId="0" applyFont="1" applyFill="1" applyBorder="1" applyAlignment="1">
      <alignment horizontal="left"/>
    </xf>
    <xf numFmtId="0" fontId="13" fillId="3" borderId="29" xfId="0" applyFont="1" applyFill="1" applyBorder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right"/>
    </xf>
    <xf numFmtId="0" fontId="8" fillId="2" borderId="0" xfId="0" applyFont="1" applyFill="1"/>
    <xf numFmtId="1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 wrapText="1"/>
    </xf>
    <xf numFmtId="165" fontId="9" fillId="2" borderId="0" xfId="0" applyNumberFormat="1" applyFont="1" applyFill="1" applyAlignment="1">
      <alignment horizontal="center"/>
    </xf>
    <xf numFmtId="0" fontId="13" fillId="2" borderId="4" xfId="0" applyFont="1" applyFill="1" applyBorder="1" applyAlignment="1">
      <alignment horizontal="center" wrapText="1"/>
    </xf>
    <xf numFmtId="0" fontId="13" fillId="2" borderId="25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left" vertical="top" wrapText="1"/>
    </xf>
    <xf numFmtId="0" fontId="1" fillId="2" borderId="25" xfId="0" applyFont="1" applyFill="1" applyBorder="1" applyAlignment="1">
      <alignment horizontal="left" vertical="top" wrapText="1"/>
    </xf>
    <xf numFmtId="0" fontId="1" fillId="2" borderId="21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164" fontId="4" fillId="2" borderId="26" xfId="0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top" wrapText="1"/>
    </xf>
    <xf numFmtId="0" fontId="19" fillId="2" borderId="15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27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9" fillId="2" borderId="38" xfId="0" applyFont="1" applyFill="1" applyBorder="1" applyAlignment="1">
      <alignment horizontal="center" wrapText="1"/>
    </xf>
    <xf numFmtId="0" fontId="19" fillId="2" borderId="39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/>
    </xf>
    <xf numFmtId="0" fontId="13" fillId="2" borderId="32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left" vertical="top" wrapText="1"/>
    </xf>
    <xf numFmtId="0" fontId="13" fillId="2" borderId="36" xfId="0" applyFont="1" applyFill="1" applyBorder="1" applyAlignment="1">
      <alignment horizontal="left" vertical="top" wrapText="1"/>
    </xf>
    <xf numFmtId="0" fontId="13" fillId="2" borderId="34" xfId="0" applyFont="1" applyFill="1" applyBorder="1" applyAlignment="1">
      <alignment horizontal="center" wrapText="1"/>
    </xf>
    <xf numFmtId="0" fontId="13" fillId="2" borderId="25" xfId="0" applyFont="1" applyFill="1" applyBorder="1" applyAlignment="1">
      <alignment horizontal="center" wrapText="1"/>
    </xf>
    <xf numFmtId="0" fontId="13" fillId="2" borderId="26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top" wrapText="1"/>
    </xf>
    <xf numFmtId="9" fontId="9" fillId="2" borderId="0" xfId="0" applyNumberFormat="1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166" fontId="9" fillId="2" borderId="0" xfId="0" applyNumberFormat="1" applyFont="1" applyFill="1" applyAlignment="1">
      <alignment horizontal="center"/>
    </xf>
    <xf numFmtId="167" fontId="9" fillId="2" borderId="0" xfId="0" applyNumberFormat="1" applyFont="1" applyFill="1" applyAlignment="1">
      <alignment horizontal="center"/>
    </xf>
    <xf numFmtId="2" fontId="8" fillId="2" borderId="0" xfId="0" applyNumberFormat="1" applyFont="1" applyFill="1"/>
    <xf numFmtId="1" fontId="9" fillId="2" borderId="3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165" fontId="9" fillId="2" borderId="43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165" fontId="9" fillId="2" borderId="27" xfId="0" applyNumberFormat="1" applyFont="1" applyFill="1" applyBorder="1" applyAlignment="1">
      <alignment horizontal="center"/>
    </xf>
    <xf numFmtId="0" fontId="9" fillId="2" borderId="43" xfId="0" applyFont="1" applyFill="1" applyBorder="1" applyAlignment="1">
      <alignment horizontal="center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0" fontId="9" fillId="2" borderId="5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9" fillId="4" borderId="0" xfId="0" applyFont="1" applyFill="1"/>
    <xf numFmtId="0" fontId="9" fillId="4" borderId="8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3" fillId="2" borderId="23" xfId="0" applyFont="1" applyFill="1" applyBorder="1" applyAlignment="1">
      <alignment wrapText="1"/>
    </xf>
    <xf numFmtId="0" fontId="13" fillId="2" borderId="22" xfId="0" applyFont="1" applyFill="1" applyBorder="1" applyAlignment="1">
      <alignment horizontal="center" wrapText="1"/>
    </xf>
    <xf numFmtId="0" fontId="13" fillId="2" borderId="22" xfId="0" applyFont="1" applyFill="1" applyBorder="1" applyAlignment="1">
      <alignment wrapText="1"/>
    </xf>
    <xf numFmtId="0" fontId="12" fillId="2" borderId="21" xfId="0" applyFont="1" applyFill="1" applyBorder="1" applyAlignment="1"/>
    <xf numFmtId="0" fontId="0" fillId="2" borderId="0" xfId="0" applyFill="1" applyBorder="1" applyAlignment="1"/>
    <xf numFmtId="2" fontId="14" fillId="2" borderId="26" xfId="0" applyNumberFormat="1" applyFont="1" applyFill="1" applyBorder="1" applyAlignment="1">
      <alignment horizontal="center" wrapText="1"/>
    </xf>
    <xf numFmtId="0" fontId="13" fillId="2" borderId="25" xfId="0" applyFont="1" applyFill="1" applyBorder="1" applyAlignment="1"/>
    <xf numFmtId="0" fontId="13" fillId="2" borderId="24" xfId="0" applyFont="1" applyFill="1" applyBorder="1" applyAlignment="1"/>
    <xf numFmtId="43" fontId="13" fillId="2" borderId="6" xfId="0" applyNumberFormat="1" applyFont="1" applyFill="1" applyBorder="1" applyAlignment="1">
      <alignment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13" fillId="2" borderId="5" xfId="0" applyFont="1" applyFill="1" applyBorder="1" applyAlignment="1"/>
    <xf numFmtId="0" fontId="13" fillId="2" borderId="3" xfId="0" applyFont="1" applyFill="1" applyBorder="1" applyAlignment="1"/>
    <xf numFmtId="0" fontId="12" fillId="2" borderId="2" xfId="0" applyFont="1" applyFill="1" applyBorder="1" applyAlignment="1"/>
    <xf numFmtId="165" fontId="14" fillId="2" borderId="23" xfId="0" applyNumberFormat="1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0" fillId="2" borderId="22" xfId="0" applyFill="1" applyBorder="1"/>
    <xf numFmtId="0" fontId="13" fillId="2" borderId="21" xfId="0" applyFont="1" applyFill="1" applyBorder="1"/>
    <xf numFmtId="0" fontId="0" fillId="2" borderId="23" xfId="0" applyFill="1" applyBorder="1"/>
    <xf numFmtId="43" fontId="13" fillId="2" borderId="22" xfId="1" applyFont="1" applyFill="1" applyBorder="1" applyAlignment="1">
      <alignment horizontal="center"/>
    </xf>
    <xf numFmtId="0" fontId="13" fillId="2" borderId="21" xfId="0" applyFont="1" applyFill="1" applyBorder="1" applyAlignment="1">
      <alignment horizontal="right" wrapText="1"/>
    </xf>
    <xf numFmtId="0" fontId="0" fillId="2" borderId="18" xfId="0" applyFill="1" applyBorder="1"/>
    <xf numFmtId="43" fontId="13" fillId="2" borderId="0" xfId="1" applyFont="1" applyFill="1" applyBorder="1" applyAlignment="1">
      <alignment horizontal="center"/>
    </xf>
    <xf numFmtId="0" fontId="0" fillId="2" borderId="17" xfId="0" applyFill="1" applyBorder="1"/>
    <xf numFmtId="43" fontId="14" fillId="2" borderId="14" xfId="1" applyFont="1" applyFill="1" applyBorder="1" applyAlignment="1">
      <alignment horizontal="center"/>
    </xf>
    <xf numFmtId="0" fontId="25" fillId="2" borderId="3" xfId="0" applyFont="1" applyFill="1" applyBorder="1" applyAlignment="1">
      <alignment horizontal="center"/>
    </xf>
    <xf numFmtId="43" fontId="13" fillId="2" borderId="3" xfId="1" applyFont="1" applyFill="1" applyBorder="1" applyAlignment="1">
      <alignment horizontal="center"/>
    </xf>
    <xf numFmtId="0" fontId="13" fillId="2" borderId="3" xfId="0" applyFont="1" applyFill="1" applyBorder="1" applyAlignment="1">
      <alignment wrapText="1"/>
    </xf>
    <xf numFmtId="0" fontId="13" fillId="2" borderId="13" xfId="0" applyFont="1" applyFill="1" applyBorder="1"/>
    <xf numFmtId="43" fontId="14" fillId="2" borderId="16" xfId="1" applyFont="1" applyFill="1" applyBorder="1" applyAlignment="1">
      <alignment horizontal="center"/>
    </xf>
    <xf numFmtId="0" fontId="25" fillId="2" borderId="8" xfId="0" applyFont="1" applyFill="1" applyBorder="1" applyAlignment="1">
      <alignment horizontal="center"/>
    </xf>
    <xf numFmtId="43" fontId="13" fillId="2" borderId="8" xfId="1" applyFont="1" applyFill="1" applyBorder="1" applyAlignment="1">
      <alignment horizontal="center"/>
    </xf>
    <xf numFmtId="0" fontId="13" fillId="2" borderId="8" xfId="0" applyFont="1" applyFill="1" applyBorder="1" applyAlignment="1">
      <alignment wrapText="1"/>
    </xf>
    <xf numFmtId="0" fontId="13" fillId="2" borderId="15" xfId="0" applyFont="1" applyFill="1" applyBorder="1"/>
    <xf numFmtId="43" fontId="13" fillId="2" borderId="23" xfId="1" applyFont="1" applyFill="1" applyBorder="1" applyAlignment="1">
      <alignment horizontal="center"/>
    </xf>
    <xf numFmtId="43" fontId="13" fillId="2" borderId="18" xfId="1" applyFont="1" applyFill="1" applyBorder="1" applyAlignment="1">
      <alignment horizontal="center"/>
    </xf>
    <xf numFmtId="0" fontId="13" fillId="2" borderId="17" xfId="0" applyFont="1" applyFill="1" applyBorder="1"/>
    <xf numFmtId="0" fontId="13" fillId="2" borderId="1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/>
    </xf>
    <xf numFmtId="0" fontId="13" fillId="2" borderId="15" xfId="0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left" vertical="center"/>
    </xf>
    <xf numFmtId="0" fontId="13" fillId="2" borderId="1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3" fillId="2" borderId="11" xfId="0" applyFont="1" applyFill="1" applyBorder="1" applyAlignment="1">
      <alignment wrapText="1"/>
    </xf>
    <xf numFmtId="0" fontId="13" fillId="2" borderId="10" xfId="0" applyFont="1" applyFill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Denní bilance TV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'akumulace TV'!$K$2</c:f>
              <c:strCache>
                <c:ptCount val="1"/>
                <c:pt idx="0">
                  <c:v>denní odběr TV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'akumulace TV'!$H$3:$J$15</c:f>
              <c:multiLvlStrCache>
                <c:ptCount val="13"/>
                <c:lvl>
                  <c:pt idx="0">
                    <c:v>hod</c:v>
                  </c:pt>
                  <c:pt idx="1">
                    <c:v>0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</c:lvl>
                <c:lvl>
                  <c:pt idx="0">
                    <c:v>konec</c:v>
                  </c:pt>
                  <c:pt idx="1">
                    <c:v>9:00</c:v>
                  </c:pt>
                  <c:pt idx="2">
                    <c:v>10:00</c:v>
                  </c:pt>
                  <c:pt idx="3">
                    <c:v>11:00</c:v>
                  </c:pt>
                  <c:pt idx="4">
                    <c:v>12:00</c:v>
                  </c:pt>
                  <c:pt idx="5">
                    <c:v>13:00</c:v>
                  </c:pt>
                  <c:pt idx="6">
                    <c:v>14:00</c:v>
                  </c:pt>
                  <c:pt idx="7">
                    <c:v>15:00</c:v>
                  </c:pt>
                  <c:pt idx="8">
                    <c:v>16:00</c:v>
                  </c:pt>
                  <c:pt idx="9">
                    <c:v>17:00</c:v>
                  </c:pt>
                  <c:pt idx="10">
                    <c:v>18:00</c:v>
                  </c:pt>
                  <c:pt idx="11">
                    <c:v>19:00</c:v>
                  </c:pt>
                  <c:pt idx="12">
                    <c:v>20:00</c:v>
                  </c:pt>
                </c:lvl>
                <c:lvl>
                  <c:pt idx="0">
                    <c:v>začátek</c:v>
                  </c:pt>
                  <c:pt idx="1">
                    <c:v>8:00</c:v>
                  </c:pt>
                  <c:pt idx="2">
                    <c:v>9:00</c:v>
                  </c:pt>
                  <c:pt idx="3">
                    <c:v>10:00</c:v>
                  </c:pt>
                  <c:pt idx="4">
                    <c:v>11:00</c:v>
                  </c:pt>
                  <c:pt idx="5">
                    <c:v>12:00</c:v>
                  </c:pt>
                  <c:pt idx="6">
                    <c:v>13:00</c:v>
                  </c:pt>
                  <c:pt idx="7">
                    <c:v>14:00</c:v>
                  </c:pt>
                  <c:pt idx="8">
                    <c:v>15:00</c:v>
                  </c:pt>
                  <c:pt idx="9">
                    <c:v>16:00</c:v>
                  </c:pt>
                  <c:pt idx="10">
                    <c:v>17:00</c:v>
                  </c:pt>
                  <c:pt idx="11">
                    <c:v>18:00</c:v>
                  </c:pt>
                  <c:pt idx="12">
                    <c:v>19:00</c:v>
                  </c:pt>
                </c:lvl>
              </c:multiLvlStrCache>
            </c:multiLvlStrRef>
          </c:cat>
          <c:val>
            <c:numRef>
              <c:f>'akumulace TV'!$K$3:$K$15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 formatCode="0">
                  <c:v>165.27272727272728</c:v>
                </c:pt>
                <c:pt idx="3" formatCode="0">
                  <c:v>330.54545454545456</c:v>
                </c:pt>
                <c:pt idx="4" formatCode="0">
                  <c:v>495.81818181818187</c:v>
                </c:pt>
                <c:pt idx="5" formatCode="0">
                  <c:v>661.09090909090912</c:v>
                </c:pt>
                <c:pt idx="6" formatCode="0">
                  <c:v>826.36363636363637</c:v>
                </c:pt>
                <c:pt idx="7" formatCode="0">
                  <c:v>991.63636363636363</c:v>
                </c:pt>
                <c:pt idx="8" formatCode="0">
                  <c:v>1156.909090909091</c:v>
                </c:pt>
                <c:pt idx="9" formatCode="0">
                  <c:v>1322.1818181818182</c:v>
                </c:pt>
                <c:pt idx="10" formatCode="0">
                  <c:v>1487.4545454545455</c:v>
                </c:pt>
                <c:pt idx="11" formatCode="0">
                  <c:v>1652.7272727272727</c:v>
                </c:pt>
                <c:pt idx="12" formatCode="0">
                  <c:v>1818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'akumulace TV'!$L$2</c:f>
              <c:strCache>
                <c:ptCount val="1"/>
                <c:pt idx="0">
                  <c:v>akumulace TV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'akumulace TV'!$H$3:$J$15</c:f>
              <c:multiLvlStrCache>
                <c:ptCount val="13"/>
                <c:lvl>
                  <c:pt idx="0">
                    <c:v>hod</c:v>
                  </c:pt>
                  <c:pt idx="1">
                    <c:v>0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</c:lvl>
                <c:lvl>
                  <c:pt idx="0">
                    <c:v>konec</c:v>
                  </c:pt>
                  <c:pt idx="1">
                    <c:v>9:00</c:v>
                  </c:pt>
                  <c:pt idx="2">
                    <c:v>10:00</c:v>
                  </c:pt>
                  <c:pt idx="3">
                    <c:v>11:00</c:v>
                  </c:pt>
                  <c:pt idx="4">
                    <c:v>12:00</c:v>
                  </c:pt>
                  <c:pt idx="5">
                    <c:v>13:00</c:v>
                  </c:pt>
                  <c:pt idx="6">
                    <c:v>14:00</c:v>
                  </c:pt>
                  <c:pt idx="7">
                    <c:v>15:00</c:v>
                  </c:pt>
                  <c:pt idx="8">
                    <c:v>16:00</c:v>
                  </c:pt>
                  <c:pt idx="9">
                    <c:v>17:00</c:v>
                  </c:pt>
                  <c:pt idx="10">
                    <c:v>18:00</c:v>
                  </c:pt>
                  <c:pt idx="11">
                    <c:v>19:00</c:v>
                  </c:pt>
                  <c:pt idx="12">
                    <c:v>20:00</c:v>
                  </c:pt>
                </c:lvl>
                <c:lvl>
                  <c:pt idx="0">
                    <c:v>začátek</c:v>
                  </c:pt>
                  <c:pt idx="1">
                    <c:v>8:00</c:v>
                  </c:pt>
                  <c:pt idx="2">
                    <c:v>9:00</c:v>
                  </c:pt>
                  <c:pt idx="3">
                    <c:v>10:00</c:v>
                  </c:pt>
                  <c:pt idx="4">
                    <c:v>11:00</c:v>
                  </c:pt>
                  <c:pt idx="5">
                    <c:v>12:00</c:v>
                  </c:pt>
                  <c:pt idx="6">
                    <c:v>13:00</c:v>
                  </c:pt>
                  <c:pt idx="7">
                    <c:v>14:00</c:v>
                  </c:pt>
                  <c:pt idx="8">
                    <c:v>15:00</c:v>
                  </c:pt>
                  <c:pt idx="9">
                    <c:v>16:00</c:v>
                  </c:pt>
                  <c:pt idx="10">
                    <c:v>17:00</c:v>
                  </c:pt>
                  <c:pt idx="11">
                    <c:v>18:00</c:v>
                  </c:pt>
                  <c:pt idx="12">
                    <c:v>19:00</c:v>
                  </c:pt>
                </c:lvl>
              </c:multiLvlStrCache>
            </c:multiLvlStrRef>
          </c:cat>
          <c:val>
            <c:numRef>
              <c:f>'akumulace TV'!$L$3:$L$15</c:f>
              <c:numCache>
                <c:formatCode>General</c:formatCode>
                <c:ptCount val="13"/>
                <c:pt idx="0">
                  <c:v>0</c:v>
                </c:pt>
                <c:pt idx="1">
                  <c:v>894</c:v>
                </c:pt>
                <c:pt idx="2" formatCode="0">
                  <c:v>728.72727272727275</c:v>
                </c:pt>
                <c:pt idx="3" formatCode="0">
                  <c:v>652.85454545454547</c:v>
                </c:pt>
                <c:pt idx="4" formatCode="0">
                  <c:v>576.9818181818182</c:v>
                </c:pt>
                <c:pt idx="5" formatCode="0">
                  <c:v>501.10909090909092</c:v>
                </c:pt>
                <c:pt idx="6" formatCode="0">
                  <c:v>425.23636363636365</c:v>
                </c:pt>
                <c:pt idx="7" formatCode="0">
                  <c:v>438.76363636363641</c:v>
                </c:pt>
                <c:pt idx="8" formatCode="0">
                  <c:v>452.29090909090911</c:v>
                </c:pt>
                <c:pt idx="9" formatCode="0">
                  <c:v>465.81818181818181</c:v>
                </c:pt>
                <c:pt idx="10" formatCode="0">
                  <c:v>479.34545454545452</c:v>
                </c:pt>
                <c:pt idx="11" formatCode="0">
                  <c:v>492.87272727272722</c:v>
                </c:pt>
                <c:pt idx="12" formatCode="0">
                  <c:v>506.39999999999992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'akumulace TV'!$M$2</c:f>
              <c:strCache>
                <c:ptCount val="1"/>
                <c:pt idx="0">
                  <c:v>hodinová potřeba TV, maximální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'akumulace TV'!$H$3:$J$15</c:f>
              <c:multiLvlStrCache>
                <c:ptCount val="13"/>
                <c:lvl>
                  <c:pt idx="0">
                    <c:v>hod</c:v>
                  </c:pt>
                  <c:pt idx="1">
                    <c:v>0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</c:lvl>
                <c:lvl>
                  <c:pt idx="0">
                    <c:v>konec</c:v>
                  </c:pt>
                  <c:pt idx="1">
                    <c:v>9:00</c:v>
                  </c:pt>
                  <c:pt idx="2">
                    <c:v>10:00</c:v>
                  </c:pt>
                  <c:pt idx="3">
                    <c:v>11:00</c:v>
                  </c:pt>
                  <c:pt idx="4">
                    <c:v>12:00</c:v>
                  </c:pt>
                  <c:pt idx="5">
                    <c:v>13:00</c:v>
                  </c:pt>
                  <c:pt idx="6">
                    <c:v>14:00</c:v>
                  </c:pt>
                  <c:pt idx="7">
                    <c:v>15:00</c:v>
                  </c:pt>
                  <c:pt idx="8">
                    <c:v>16:00</c:v>
                  </c:pt>
                  <c:pt idx="9">
                    <c:v>17:00</c:v>
                  </c:pt>
                  <c:pt idx="10">
                    <c:v>18:00</c:v>
                  </c:pt>
                  <c:pt idx="11">
                    <c:v>19:00</c:v>
                  </c:pt>
                  <c:pt idx="12">
                    <c:v>20:00</c:v>
                  </c:pt>
                </c:lvl>
                <c:lvl>
                  <c:pt idx="0">
                    <c:v>začátek</c:v>
                  </c:pt>
                  <c:pt idx="1">
                    <c:v>8:00</c:v>
                  </c:pt>
                  <c:pt idx="2">
                    <c:v>9:00</c:v>
                  </c:pt>
                  <c:pt idx="3">
                    <c:v>10:00</c:v>
                  </c:pt>
                  <c:pt idx="4">
                    <c:v>11:00</c:v>
                  </c:pt>
                  <c:pt idx="5">
                    <c:v>12:00</c:v>
                  </c:pt>
                  <c:pt idx="6">
                    <c:v>13:00</c:v>
                  </c:pt>
                  <c:pt idx="7">
                    <c:v>14:00</c:v>
                  </c:pt>
                  <c:pt idx="8">
                    <c:v>15:00</c:v>
                  </c:pt>
                  <c:pt idx="9">
                    <c:v>16:00</c:v>
                  </c:pt>
                  <c:pt idx="10">
                    <c:v>17:00</c:v>
                  </c:pt>
                  <c:pt idx="11">
                    <c:v>18:00</c:v>
                  </c:pt>
                  <c:pt idx="12">
                    <c:v>19:00</c:v>
                  </c:pt>
                </c:lvl>
              </c:multiLvlStrCache>
            </c:multiLvlStrRef>
          </c:cat>
          <c:val>
            <c:numRef>
              <c:f>'akumulace TV'!$M$3:$M$15</c:f>
              <c:numCache>
                <c:formatCode>0.0</c:formatCode>
                <c:ptCount val="13"/>
                <c:pt idx="0" formatCode="General">
                  <c:v>0</c:v>
                </c:pt>
                <c:pt idx="1">
                  <c:v>330.54545454545456</c:v>
                </c:pt>
                <c:pt idx="2">
                  <c:v>330.54545454545456</c:v>
                </c:pt>
                <c:pt idx="3">
                  <c:v>330.54545454545456</c:v>
                </c:pt>
                <c:pt idx="4">
                  <c:v>330.54545454545456</c:v>
                </c:pt>
                <c:pt idx="5">
                  <c:v>330.54545454545456</c:v>
                </c:pt>
                <c:pt idx="6">
                  <c:v>330.54545454545456</c:v>
                </c:pt>
                <c:pt idx="7">
                  <c:v>330.54545454545456</c:v>
                </c:pt>
                <c:pt idx="8">
                  <c:v>330.54545454545456</c:v>
                </c:pt>
                <c:pt idx="9">
                  <c:v>330.54545454545456</c:v>
                </c:pt>
                <c:pt idx="10">
                  <c:v>330.54545454545456</c:v>
                </c:pt>
                <c:pt idx="11">
                  <c:v>330.54545454545456</c:v>
                </c:pt>
                <c:pt idx="12">
                  <c:v>330.54545454545456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097520"/>
        <c:axId val="122097912"/>
      </c:lineChart>
      <c:catAx>
        <c:axId val="12209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22097912"/>
        <c:crosses val="autoZero"/>
        <c:auto val="1"/>
        <c:lblAlgn val="ctr"/>
        <c:lblOffset val="100"/>
        <c:noMultiLvlLbl val="0"/>
      </c:catAx>
      <c:valAx>
        <c:axId val="122097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22097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'akumulace TV'!$P$2:$P$3</c:f>
              <c:strCache>
                <c:ptCount val="2"/>
                <c:pt idx="0">
                  <c:v>příkon ESIL</c:v>
                </c:pt>
                <c:pt idx="1">
                  <c:v>[kW]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'akumulace TV'!$N$4:$O$27</c:f>
              <c:multiLvlStrCache>
                <c:ptCount val="24"/>
                <c:lvl>
                  <c:pt idx="0">
                    <c:v>9:00</c:v>
                  </c:pt>
                  <c:pt idx="1">
                    <c:v>10:00</c:v>
                  </c:pt>
                  <c:pt idx="2">
                    <c:v>11:00</c:v>
                  </c:pt>
                  <c:pt idx="3">
                    <c:v>12:00</c:v>
                  </c:pt>
                  <c:pt idx="4">
                    <c:v>13:00</c:v>
                  </c:pt>
                  <c:pt idx="5">
                    <c:v>13:00</c:v>
                  </c:pt>
                  <c:pt idx="6">
                    <c:v>16:00</c:v>
                  </c:pt>
                  <c:pt idx="7">
                    <c:v>16:00</c:v>
                  </c:pt>
                  <c:pt idx="8">
                    <c:v>17:00</c:v>
                  </c:pt>
                  <c:pt idx="9">
                    <c:v>18:00</c:v>
                  </c:pt>
                  <c:pt idx="10">
                    <c:v>19:00</c:v>
                  </c:pt>
                  <c:pt idx="11">
                    <c:v>20:00</c:v>
                  </c:pt>
                  <c:pt idx="12">
                    <c:v>21:00</c:v>
                  </c:pt>
                  <c:pt idx="13">
                    <c:v>22:00</c:v>
                  </c:pt>
                  <c:pt idx="14">
                    <c:v>23:00</c:v>
                  </c:pt>
                  <c:pt idx="15">
                    <c:v>0:00</c:v>
                  </c:pt>
                  <c:pt idx="16">
                    <c:v>1:00</c:v>
                  </c:pt>
                  <c:pt idx="17">
                    <c:v>2:00</c:v>
                  </c:pt>
                  <c:pt idx="18">
                    <c:v>3:00</c:v>
                  </c:pt>
                  <c:pt idx="19">
                    <c:v>4:00</c:v>
                  </c:pt>
                  <c:pt idx="20">
                    <c:v>5:00</c:v>
                  </c:pt>
                  <c:pt idx="21">
                    <c:v>6:00</c:v>
                  </c:pt>
                  <c:pt idx="22">
                    <c:v>7:00</c:v>
                  </c:pt>
                  <c:pt idx="23">
                    <c:v>8:00</c:v>
                  </c:pt>
                </c:lvl>
                <c:lvl>
                  <c:pt idx="0">
                    <c:v>8:00</c:v>
                  </c:pt>
                  <c:pt idx="1">
                    <c:v>9:00</c:v>
                  </c:pt>
                  <c:pt idx="2">
                    <c:v>10:00</c:v>
                  </c:pt>
                  <c:pt idx="3">
                    <c:v>11:00</c:v>
                  </c:pt>
                  <c:pt idx="4">
                    <c:v>12:00</c:v>
                  </c:pt>
                  <c:pt idx="5">
                    <c:v>12:00</c:v>
                  </c:pt>
                  <c:pt idx="6">
                    <c:v>15:00</c:v>
                  </c:pt>
                  <c:pt idx="7">
                    <c:v>15:00</c:v>
                  </c:pt>
                  <c:pt idx="8">
                    <c:v>16:00</c:v>
                  </c:pt>
                  <c:pt idx="9">
                    <c:v>17:00</c:v>
                  </c:pt>
                  <c:pt idx="10">
                    <c:v>18:00</c:v>
                  </c:pt>
                  <c:pt idx="11">
                    <c:v>19:00</c:v>
                  </c:pt>
                  <c:pt idx="12">
                    <c:v>20:00</c:v>
                  </c:pt>
                  <c:pt idx="13">
                    <c:v>21:00</c:v>
                  </c:pt>
                  <c:pt idx="14">
                    <c:v>22:00</c:v>
                  </c:pt>
                  <c:pt idx="15">
                    <c:v>23:00</c:v>
                  </c:pt>
                  <c:pt idx="16">
                    <c:v>0:00</c:v>
                  </c:pt>
                  <c:pt idx="17">
                    <c:v>1:00</c:v>
                  </c:pt>
                  <c:pt idx="18">
                    <c:v>2:00</c:v>
                  </c:pt>
                  <c:pt idx="19">
                    <c:v>3:00</c:v>
                  </c:pt>
                  <c:pt idx="20">
                    <c:v>4:00</c:v>
                  </c:pt>
                  <c:pt idx="21">
                    <c:v>5:00</c:v>
                  </c:pt>
                  <c:pt idx="22">
                    <c:v>6:00</c:v>
                  </c:pt>
                  <c:pt idx="23">
                    <c:v>7:00</c:v>
                  </c:pt>
                </c:lvl>
              </c:multiLvlStrCache>
            </c:multiLvlStrRef>
          </c:cat>
          <c:val>
            <c:numRef>
              <c:f>'akumulace TV'!$P$4:$P$27</c:f>
              <c:numCache>
                <c:formatCode>0</c:formatCode>
                <c:ptCount val="24"/>
                <c:pt idx="0" formatCode="General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General">
                  <c:v>0</c:v>
                </c:pt>
                <c:pt idx="23" formatCode="General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2038408"/>
        <c:axId val="192036056"/>
      </c:lineChart>
      <c:catAx>
        <c:axId val="192038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92036056"/>
        <c:crosses val="autoZero"/>
        <c:auto val="1"/>
        <c:lblAlgn val="ctr"/>
        <c:lblOffset val="100"/>
        <c:noMultiLvlLbl val="0"/>
      </c:catAx>
      <c:valAx>
        <c:axId val="192036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92038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112920</xdr:colOff>
      <xdr:row>4</xdr:row>
      <xdr:rowOff>328426</xdr:rowOff>
    </xdr:from>
    <xdr:ext cx="121023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ovéPole 1"/>
            <xdr:cNvSpPr txBox="1"/>
          </xdr:nvSpPr>
          <xdr:spPr>
            <a:xfrm>
              <a:off x="721055" y="1002503"/>
              <a:ext cx="121023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cs-CZ" sz="10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cs-CZ" sz="1000" b="0" i="1">
                          <a:latin typeface="Cambria Math" panose="02040503050406030204" pitchFamily="18" charset="0"/>
                        </a:rPr>
                        <m:t>𝑄</m:t>
                      </m:r>
                    </m:e>
                    <m:sub>
                      <m:r>
                        <a:rPr lang="cs-CZ" sz="1000" b="0" i="1">
                          <a:latin typeface="Cambria Math" panose="02040503050406030204" pitchFamily="18" charset="0"/>
                        </a:rPr>
                        <m:t>𝐷</m:t>
                      </m:r>
                    </m:sub>
                  </m:sSub>
                  <m:r>
                    <a:rPr lang="cs-CZ" sz="10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l-GR" sz="1000">
                  <a:latin typeface="Cambria" panose="02040503050406030204" pitchFamily="18" charset="0"/>
                </a:rPr>
                <a:t>φ</a:t>
              </a:r>
              <a:r>
                <a:rPr lang="cs-CZ" sz="1000">
                  <a:latin typeface="Cambria" panose="02040503050406030204" pitchFamily="18" charset="0"/>
                </a:rPr>
                <a:t>×Q×n</a:t>
              </a:r>
            </a:p>
          </xdr:txBody>
        </xdr:sp>
      </mc:Choice>
      <mc:Fallback xmlns="">
        <xdr:sp macro="" textlink="">
          <xdr:nvSpPr>
            <xdr:cNvPr id="2" name="TextovéPole 1"/>
            <xdr:cNvSpPr txBox="1"/>
          </xdr:nvSpPr>
          <xdr:spPr>
            <a:xfrm>
              <a:off x="721055" y="1002503"/>
              <a:ext cx="121023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cs-CZ" sz="1000" b="0" i="0">
                  <a:latin typeface="Cambria Math" panose="02040503050406030204" pitchFamily="18" charset="0"/>
                </a:rPr>
                <a:t>𝑄_𝐷=</a:t>
              </a:r>
              <a:r>
                <a:rPr lang="el-GR" sz="1000">
                  <a:latin typeface="Cambria" panose="02040503050406030204" pitchFamily="18" charset="0"/>
                </a:rPr>
                <a:t>φ</a:t>
              </a:r>
              <a:r>
                <a:rPr lang="cs-CZ" sz="1000">
                  <a:latin typeface="Cambria" panose="02040503050406030204" pitchFamily="18" charset="0"/>
                </a:rPr>
                <a:t>×Q×n</a:t>
              </a:r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</xdr:row>
      <xdr:rowOff>198913</xdr:rowOff>
    </xdr:from>
    <xdr:ext cx="2667000" cy="3154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ovéPole 1"/>
            <xdr:cNvSpPr txBox="1"/>
          </xdr:nvSpPr>
          <xdr:spPr>
            <a:xfrm>
              <a:off x="0" y="2723038"/>
              <a:ext cx="2667000" cy="3154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0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cs-CZ" sz="1000" b="0" i="1">
                            <a:latin typeface="Cambria Math" panose="02040503050406030204" pitchFamily="18" charset="0"/>
                          </a:rPr>
                          <m:t>𝑇𝑉</m:t>
                        </m:r>
                        <m:r>
                          <a:rPr lang="cs-CZ" sz="1000" b="0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cs-CZ" sz="1000" b="0" i="1">
                            <a:latin typeface="Cambria Math" panose="02040503050406030204" pitchFamily="18" charset="0"/>
                          </a:rPr>
                          <m:t>𝑑</m:t>
                        </m:r>
                      </m:sub>
                    </m:sSub>
                    <m:r>
                      <a:rPr lang="cs-CZ" sz="1000" b="0" i="1">
                        <a:latin typeface="Cambria Math" panose="02040503050406030204" pitchFamily="18" charset="0"/>
                      </a:rPr>
                      <m:t>=(1+</m:t>
                    </m:r>
                    <m:r>
                      <a:rPr lang="cs-CZ" sz="1000" b="0" i="1">
                        <a:latin typeface="Cambria Math" panose="02040503050406030204" pitchFamily="18" charset="0"/>
                      </a:rPr>
                      <m:t>𝑧</m:t>
                    </m:r>
                    <m:r>
                      <a:rPr lang="cs-CZ" sz="1000" b="0" i="1">
                        <a:latin typeface="Cambria Math" panose="02040503050406030204" pitchFamily="18" charset="0"/>
                      </a:rPr>
                      <m:t>)×</m:t>
                    </m:r>
                    <m:f>
                      <m:fPr>
                        <m:ctrlPr>
                          <a:rPr lang="cs-CZ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cs-CZ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𝜌</m:t>
                        </m:r>
                        <m:r>
                          <a:rPr lang="cs-CZ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cs-CZ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  <m:r>
                          <a:rPr lang="cs-CZ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sSub>
                          <m:sSubPr>
                            <m:ctrlP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𝑉</m:t>
                            </m:r>
                          </m:e>
                          <m:sub>
                            <m: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𝑇𝑉</m:t>
                            </m:r>
                            <m: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,</m:t>
                            </m:r>
                            <m: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sub>
                        </m:sSub>
                        <m:r>
                          <a:rPr lang="cs-CZ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×(</m:t>
                        </m:r>
                        <m:sSub>
                          <m:sSubPr>
                            <m:ctrlP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𝑇𝑉</m:t>
                            </m:r>
                          </m:sub>
                        </m:sSub>
                        <m:r>
                          <a:rPr lang="cs-CZ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lang="cs-CZ" sz="1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𝑆𝑉</m:t>
                            </m:r>
                          </m:sub>
                        </m:sSub>
                        <m:r>
                          <a:rPr lang="cs-CZ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cs-CZ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3600</m:t>
                        </m:r>
                      </m:den>
                    </m:f>
                  </m:oMath>
                </m:oMathPara>
              </a14:m>
              <a:endParaRPr lang="cs-CZ" sz="1000">
                <a:latin typeface="Arial Narrow" panose="020B0606020202030204" pitchFamily="34" charset="0"/>
              </a:endParaRPr>
            </a:p>
          </xdr:txBody>
        </xdr:sp>
      </mc:Choice>
      <mc:Fallback xmlns="">
        <xdr:sp macro="" textlink="">
          <xdr:nvSpPr>
            <xdr:cNvPr id="2" name="TextovéPole 1"/>
            <xdr:cNvSpPr txBox="1"/>
          </xdr:nvSpPr>
          <xdr:spPr>
            <a:xfrm>
              <a:off x="0" y="2723038"/>
              <a:ext cx="2667000" cy="3154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cs-CZ" sz="1000" b="0" i="0">
                  <a:latin typeface="Cambria Math" panose="02040503050406030204" pitchFamily="18" charset="0"/>
                </a:rPr>
                <a:t>𝑄_(𝑇𝑉,𝑑)=(1+𝑧)</a:t>
              </a:r>
              <a:r>
                <a:rPr lang="cs-CZ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×(𝜌×𝑐×𝑉_(𝑇𝑉,𝑑)×(𝑡_𝑇𝑉−𝑡_𝑆𝑉))/3600</a:t>
              </a:r>
              <a:endParaRPr lang="cs-CZ" sz="1000">
                <a:latin typeface="Arial Narrow" panose="020B0606020202030204" pitchFamily="34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66674</xdr:colOff>
      <xdr:row>23</xdr:row>
      <xdr:rowOff>198914</xdr:rowOff>
    </xdr:from>
    <xdr:ext cx="2990851" cy="34401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/>
            <xdr:cNvSpPr txBox="1"/>
          </xdr:nvSpPr>
          <xdr:spPr>
            <a:xfrm>
              <a:off x="228599" y="4570889"/>
              <a:ext cx="2990851" cy="3440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cs-CZ" sz="10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cs-CZ" sz="1000" b="0" i="1">
                          <a:latin typeface="Cambria Math" panose="02040503050406030204" pitchFamily="18" charset="0"/>
                        </a:rPr>
                        <m:t>𝑄</m:t>
                      </m:r>
                    </m:e>
                    <m:sub>
                      <m:r>
                        <a:rPr lang="cs-CZ" sz="1000" b="0" i="1">
                          <a:latin typeface="Cambria Math" panose="02040503050406030204" pitchFamily="18" charset="0"/>
                        </a:rPr>
                        <m:t>𝑇𝑉</m:t>
                      </m:r>
                      <m:r>
                        <a:rPr lang="cs-CZ" sz="1000" b="0" i="1">
                          <a:latin typeface="Cambria Math" panose="02040503050406030204" pitchFamily="18" charset="0"/>
                        </a:rPr>
                        <m:t>,</m:t>
                      </m:r>
                      <m:r>
                        <a:rPr lang="cs-CZ" sz="1000" b="0" i="1">
                          <a:latin typeface="Cambria Math" panose="02040503050406030204" pitchFamily="18" charset="0"/>
                        </a:rPr>
                        <m:t>𝑟</m:t>
                      </m:r>
                    </m:sub>
                  </m:sSub>
                  <m:r>
                    <a:rPr lang="cs-CZ" sz="1000" b="0" i="1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cs-CZ" sz="10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cs-CZ" sz="1000" b="0" i="1">
                          <a:latin typeface="Cambria Math" panose="02040503050406030204" pitchFamily="18" charset="0"/>
                        </a:rPr>
                        <m:t>𝑄</m:t>
                      </m:r>
                    </m:e>
                    <m:sub>
                      <m:r>
                        <a:rPr lang="cs-CZ" sz="1000" b="0" i="1">
                          <a:latin typeface="Cambria Math" panose="02040503050406030204" pitchFamily="18" charset="0"/>
                        </a:rPr>
                        <m:t>𝑇𝑉</m:t>
                      </m:r>
                      <m:r>
                        <a:rPr lang="cs-CZ" sz="1000" b="0" i="1">
                          <a:latin typeface="Cambria Math" panose="02040503050406030204" pitchFamily="18" charset="0"/>
                        </a:rPr>
                        <m:t>,</m:t>
                      </m:r>
                      <m:r>
                        <a:rPr lang="cs-CZ" sz="1000" b="0" i="1">
                          <a:latin typeface="Cambria Math" panose="02040503050406030204" pitchFamily="18" charset="0"/>
                        </a:rPr>
                        <m:t>𝑑</m:t>
                      </m:r>
                    </m:sub>
                  </m:sSub>
                  <m:r>
                    <a:rPr lang="cs-CZ" sz="1000" b="0" i="1">
                      <a:latin typeface="Cambria Math" panose="02040503050406030204" pitchFamily="18" charset="0"/>
                    </a:rPr>
                    <m:t>×</m:t>
                  </m:r>
                  <m:r>
                    <a:rPr lang="cs-CZ" sz="1000" b="0" i="1">
                      <a:latin typeface="Cambria Math" panose="02040503050406030204" pitchFamily="18" charset="0"/>
                    </a:rPr>
                    <m:t>𝑑</m:t>
                  </m:r>
                  <m:r>
                    <a:rPr lang="cs-CZ" sz="1000" b="0" i="1">
                      <a:latin typeface="Cambria Math" panose="02040503050406030204" pitchFamily="18" charset="0"/>
                    </a:rPr>
                    <m:t>+0,8×</m:t>
                  </m:r>
                  <m:sSub>
                    <m:sSubPr>
                      <m:ctrlPr>
                        <a:rPr lang="cs-CZ" sz="10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0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𝑄</m:t>
                      </m:r>
                    </m:e>
                    <m:sub>
                      <m:r>
                        <a:rPr lang="cs-CZ" sz="10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𝑇𝑉</m:t>
                      </m:r>
                      <m:r>
                        <a:rPr lang="cs-CZ" sz="10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cs-CZ" sz="10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𝑑</m:t>
                      </m:r>
                    </m:sub>
                  </m:sSub>
                  <m:f>
                    <m:fPr>
                      <m:ctrlPr>
                        <a:rPr lang="cs-CZ" sz="1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sSub>
                        <m:sSubPr>
                          <m:ctrlP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𝑡</m:t>
                          </m:r>
                        </m:e>
                        <m:sub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𝑇𝑉</m:t>
                          </m:r>
                        </m:sub>
                      </m:sSub>
                      <m:r>
                        <a:rPr lang="cs-CZ" sz="1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−</m:t>
                      </m:r>
                      <m:sSub>
                        <m:sSubPr>
                          <m:ctrlP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𝑡</m:t>
                          </m:r>
                        </m:e>
                        <m:sub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𝑆𝑉</m:t>
                          </m:r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,</m:t>
                          </m:r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𝐿</m:t>
                          </m:r>
                        </m:sub>
                      </m:sSub>
                    </m:num>
                    <m:den>
                      <m:sSub>
                        <m:sSubPr>
                          <m:ctrlP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𝑡</m:t>
                          </m:r>
                        </m:e>
                        <m:sub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𝑆𝑉</m:t>
                          </m:r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,</m:t>
                          </m:r>
                          <m:r>
                            <a:rPr lang="cs-CZ" sz="10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𝑍</m:t>
                          </m:r>
                        </m:sub>
                      </m:sSub>
                      <m:r>
                        <a:rPr lang="cs-CZ" sz="10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sSub>
                        <m:sSubPr>
                          <m:ctrlPr>
                            <a:rPr lang="cs-CZ" sz="10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cs-CZ" sz="10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𝑡</m:t>
                          </m:r>
                        </m:e>
                        <m:sub>
                          <m:r>
                            <a:rPr lang="cs-CZ" sz="10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𝑆𝑉</m:t>
                          </m:r>
                          <m:r>
                            <a:rPr lang="cs-CZ" sz="10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,</m:t>
                          </m:r>
                          <m:r>
                            <a:rPr lang="cs-CZ" sz="10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𝐿</m:t>
                          </m:r>
                        </m:sub>
                      </m:sSub>
                    </m:den>
                  </m:f>
                </m:oMath>
              </a14:m>
              <a:r>
                <a:rPr lang="cs-CZ" sz="1000">
                  <a:latin typeface="Arial Narrow" panose="020B0606020202030204" pitchFamily="34" charset="0"/>
                </a:rPr>
                <a:t>×(N-d)</a:t>
              </a:r>
            </a:p>
          </xdr:txBody>
        </xdr:sp>
      </mc:Choice>
      <mc:Fallback xmlns="">
        <xdr:sp macro="" textlink="">
          <xdr:nvSpPr>
            <xdr:cNvPr id="3" name="TextovéPole 2"/>
            <xdr:cNvSpPr txBox="1"/>
          </xdr:nvSpPr>
          <xdr:spPr>
            <a:xfrm>
              <a:off x="228599" y="4570889"/>
              <a:ext cx="2990851" cy="3440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cs-CZ" sz="1000" b="0" i="0">
                  <a:latin typeface="Cambria Math" panose="02040503050406030204" pitchFamily="18" charset="0"/>
                </a:rPr>
                <a:t>𝑄_(𝑇𝑉,𝑟)=𝑄_(𝑇𝑉,𝑑)×𝑑+0,8×</a:t>
              </a:r>
              <a:r>
                <a:rPr lang="cs-CZ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𝑄_(𝑇𝑉,𝑑)</a:t>
              </a:r>
              <a:r>
                <a:rPr lang="cs-CZ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</a:t>
              </a:r>
              <a:r>
                <a:rPr lang="cs-CZ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(𝑡_𝑇𝑉−𝑡_(𝑆𝑉,𝐿))/(𝑡_(𝑆𝑉,𝑍)</a:t>
              </a:r>
              <a:r>
                <a:rPr lang="cs-CZ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−𝑡_(𝑆𝑉,</a:t>
              </a:r>
              <a:r>
                <a:rPr lang="cs-CZ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</a:t>
              </a:r>
              <a:r>
                <a:rPr lang="cs-CZ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cs-CZ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cs-CZ" sz="1000">
                  <a:latin typeface="Arial Narrow" panose="020B0606020202030204" pitchFamily="34" charset="0"/>
                </a:rPr>
                <a:t>×(N-d)</a:t>
              </a:r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504825</xdr:colOff>
      <xdr:row>1</xdr:row>
      <xdr:rowOff>90487</xdr:rowOff>
    </xdr:from>
    <xdr:to>
      <xdr:col>30</xdr:col>
      <xdr:colOff>276225</xdr:colOff>
      <xdr:row>18</xdr:row>
      <xdr:rowOff>4762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504825</xdr:colOff>
      <xdr:row>18</xdr:row>
      <xdr:rowOff>61912</xdr:rowOff>
    </xdr:from>
    <xdr:to>
      <xdr:col>30</xdr:col>
      <xdr:colOff>352425</xdr:colOff>
      <xdr:row>34</xdr:row>
      <xdr:rowOff>23812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44"/>
  <sheetViews>
    <sheetView workbookViewId="0">
      <selection activeCell="G33" sqref="G33"/>
    </sheetView>
  </sheetViews>
  <sheetFormatPr defaultColWidth="9.140625" defaultRowHeight="12.75" x14ac:dyDescent="0.2"/>
  <cols>
    <col min="1" max="1" width="4.5703125" style="54" customWidth="1"/>
    <col min="2" max="2" width="5.28515625" style="55" customWidth="1"/>
    <col min="3" max="3" width="7" style="55" customWidth="1"/>
    <col min="4" max="4" width="18.28515625" style="54" customWidth="1"/>
    <col min="5" max="5" width="10.5703125" style="167" customWidth="1"/>
    <col min="6" max="6" width="12.5703125" style="167" customWidth="1"/>
    <col min="7" max="7" width="14.7109375" style="55" customWidth="1"/>
    <col min="8" max="9" width="9.140625" style="167"/>
    <col min="10" max="10" width="1.7109375" style="54" customWidth="1"/>
    <col min="11" max="11" width="3.140625" style="54" customWidth="1"/>
    <col min="12" max="12" width="11.28515625" style="54" customWidth="1"/>
    <col min="13" max="13" width="12.5703125" style="54" customWidth="1"/>
    <col min="14" max="15" width="10.85546875" style="54" customWidth="1"/>
    <col min="16" max="16" width="3.5703125" style="54" customWidth="1"/>
    <col min="17" max="17" width="16.28515625" style="54" customWidth="1"/>
    <col min="18" max="18" width="12.5703125" style="54" customWidth="1"/>
    <col min="19" max="20" width="10.85546875" style="54" customWidth="1"/>
    <col min="21" max="16384" width="9.140625" style="54"/>
  </cols>
  <sheetData>
    <row r="1" spans="2:20" x14ac:dyDescent="0.2">
      <c r="B1" s="208" t="s">
        <v>189</v>
      </c>
      <c r="C1" s="208"/>
      <c r="D1" s="208"/>
      <c r="E1" s="208"/>
      <c r="F1" s="208"/>
      <c r="G1" s="208"/>
      <c r="H1" s="208"/>
      <c r="I1" s="208"/>
      <c r="L1" s="207" t="s">
        <v>188</v>
      </c>
      <c r="M1" s="207"/>
      <c r="N1" s="207"/>
      <c r="O1" s="207"/>
      <c r="Q1" s="207" t="s">
        <v>187</v>
      </c>
      <c r="R1" s="207"/>
      <c r="S1" s="207"/>
      <c r="T1" s="207"/>
    </row>
    <row r="2" spans="2:20" ht="13.5" thickBot="1" x14ac:dyDescent="0.25">
      <c r="B2" s="206" t="s">
        <v>186</v>
      </c>
      <c r="C2" s="205"/>
      <c r="D2" s="205"/>
      <c r="E2" s="205"/>
      <c r="F2" s="205"/>
      <c r="G2" s="205"/>
      <c r="H2" s="205"/>
      <c r="I2" s="204"/>
      <c r="L2" s="127" t="s">
        <v>185</v>
      </c>
      <c r="Q2" s="127" t="s">
        <v>185</v>
      </c>
    </row>
    <row r="3" spans="2:20" s="167" customFormat="1" x14ac:dyDescent="0.25">
      <c r="B3" s="203" t="s">
        <v>184</v>
      </c>
      <c r="C3" s="202" t="s">
        <v>183</v>
      </c>
      <c r="D3" s="201" t="s">
        <v>182</v>
      </c>
      <c r="E3" s="201" t="s">
        <v>181</v>
      </c>
      <c r="F3" s="201" t="s">
        <v>180</v>
      </c>
      <c r="G3" s="201" t="s">
        <v>179</v>
      </c>
      <c r="H3" s="201" t="s">
        <v>178</v>
      </c>
      <c r="I3" s="200" t="s">
        <v>177</v>
      </c>
      <c r="L3" s="198" t="s">
        <v>176</v>
      </c>
      <c r="M3" s="199" t="s">
        <v>175</v>
      </c>
      <c r="N3" s="196" t="s">
        <v>174</v>
      </c>
      <c r="O3" s="195" t="s">
        <v>174</v>
      </c>
      <c r="Q3" s="198" t="s">
        <v>176</v>
      </c>
      <c r="R3" s="197" t="s">
        <v>175</v>
      </c>
      <c r="S3" s="196" t="s">
        <v>174</v>
      </c>
      <c r="T3" s="195" t="s">
        <v>174</v>
      </c>
    </row>
    <row r="4" spans="2:20" s="167" customFormat="1" ht="28.5" thickBot="1" x14ac:dyDescent="0.3">
      <c r="B4" s="194"/>
      <c r="C4" s="193"/>
      <c r="D4" s="192"/>
      <c r="E4" s="192"/>
      <c r="F4" s="192"/>
      <c r="G4" s="192"/>
      <c r="H4" s="192"/>
      <c r="I4" s="191"/>
      <c r="L4" s="189"/>
      <c r="M4" s="190"/>
      <c r="N4" s="187" t="s">
        <v>173</v>
      </c>
      <c r="O4" s="186" t="s">
        <v>173</v>
      </c>
      <c r="Q4" s="189"/>
      <c r="R4" s="188"/>
      <c r="S4" s="187" t="s">
        <v>173</v>
      </c>
      <c r="T4" s="186" t="s">
        <v>173</v>
      </c>
    </row>
    <row r="5" spans="2:20" x14ac:dyDescent="0.2">
      <c r="B5" s="181" t="s">
        <v>172</v>
      </c>
      <c r="C5" s="180" t="s">
        <v>170</v>
      </c>
      <c r="D5" s="178">
        <v>63.82</v>
      </c>
      <c r="E5" s="179">
        <v>0.9</v>
      </c>
      <c r="F5" s="177">
        <v>0.03</v>
      </c>
      <c r="G5" s="178">
        <f>PRODUCT(D5:F5)</f>
        <v>1.7231400000000001</v>
      </c>
      <c r="H5" s="177">
        <f>IF(G5&lt;2.6,75,IF(G5&lt;4.6,110,IF(G5&lt;7.6,125,160)))</f>
        <v>75</v>
      </c>
      <c r="I5" s="176">
        <f>PI()*(H5/2)^2</f>
        <v>4417.8646691106469</v>
      </c>
      <c r="L5" s="185">
        <v>2.6</v>
      </c>
      <c r="M5" s="185">
        <v>75</v>
      </c>
      <c r="N5" s="182">
        <f>L5/F5</f>
        <v>86.666666666666671</v>
      </c>
      <c r="O5" s="182">
        <f>L5/F5</f>
        <v>86.666666666666671</v>
      </c>
      <c r="Q5" s="185">
        <v>3.2</v>
      </c>
      <c r="R5" s="185">
        <v>70</v>
      </c>
      <c r="S5" s="182">
        <f>Q5/F$5</f>
        <v>106.66666666666667</v>
      </c>
      <c r="T5" s="182">
        <f>Q5/F$5</f>
        <v>106.66666666666667</v>
      </c>
    </row>
    <row r="6" spans="2:20" x14ac:dyDescent="0.2">
      <c r="B6" s="181" t="s">
        <v>171</v>
      </c>
      <c r="C6" s="180" t="s">
        <v>170</v>
      </c>
      <c r="D6" s="178">
        <v>81.83</v>
      </c>
      <c r="E6" s="179">
        <v>0.9</v>
      </c>
      <c r="F6" s="177">
        <v>0.03</v>
      </c>
      <c r="G6" s="178">
        <f>PRODUCT(D6:F6)</f>
        <v>2.2094100000000001</v>
      </c>
      <c r="H6" s="177">
        <f>IF(G6&lt;2.6,75,IF(G6&lt;4.6,110,IF(G6&lt;7.6,125,160)))</f>
        <v>75</v>
      </c>
      <c r="I6" s="176">
        <f>PI()*(H6/2)^2</f>
        <v>4417.8646691106469</v>
      </c>
      <c r="L6" s="183">
        <v>4.5999999999999996</v>
      </c>
      <c r="M6" s="183">
        <v>110</v>
      </c>
      <c r="N6" s="184">
        <f>L6/F6</f>
        <v>153.33333333333331</v>
      </c>
      <c r="O6" s="182">
        <f>L6/F5</f>
        <v>153.33333333333331</v>
      </c>
      <c r="Q6" s="183">
        <v>4.8</v>
      </c>
      <c r="R6" s="183">
        <v>90</v>
      </c>
      <c r="S6" s="182">
        <f t="shared" ref="S6:S9" si="0">Q6/F$5</f>
        <v>160</v>
      </c>
      <c r="T6" s="182">
        <f>Q6/F$5</f>
        <v>160</v>
      </c>
    </row>
    <row r="7" spans="2:20" x14ac:dyDescent="0.2">
      <c r="B7" s="181"/>
      <c r="C7" s="180"/>
      <c r="D7" s="178"/>
      <c r="E7" s="179"/>
      <c r="F7" s="177"/>
      <c r="G7" s="178"/>
      <c r="H7" s="177"/>
      <c r="I7" s="176"/>
      <c r="L7" s="183">
        <v>7.6</v>
      </c>
      <c r="M7" s="183">
        <v>125</v>
      </c>
      <c r="N7" s="184">
        <f>L7/F6</f>
        <v>253.33333333333334</v>
      </c>
      <c r="O7" s="182">
        <f>L7/F5</f>
        <v>253.33333333333334</v>
      </c>
      <c r="Q7" s="183">
        <v>8.1</v>
      </c>
      <c r="R7" s="183">
        <v>100</v>
      </c>
      <c r="S7" s="182">
        <f t="shared" si="0"/>
        <v>270</v>
      </c>
      <c r="T7" s="182">
        <f>Q7/F$5</f>
        <v>270</v>
      </c>
    </row>
    <row r="8" spans="2:20" x14ac:dyDescent="0.2">
      <c r="B8" s="181"/>
      <c r="C8" s="180"/>
      <c r="D8" s="178"/>
      <c r="E8" s="179"/>
      <c r="F8" s="177"/>
      <c r="G8" s="178"/>
      <c r="H8" s="177"/>
      <c r="I8" s="176"/>
      <c r="Q8" s="183">
        <v>12.6</v>
      </c>
      <c r="R8" s="183">
        <v>125</v>
      </c>
      <c r="S8" s="182">
        <f t="shared" si="0"/>
        <v>420</v>
      </c>
      <c r="T8" s="182">
        <f>Q8/F$5</f>
        <v>420</v>
      </c>
    </row>
    <row r="9" spans="2:20" x14ac:dyDescent="0.2">
      <c r="B9" s="181"/>
      <c r="C9" s="180"/>
      <c r="D9" s="178"/>
      <c r="E9" s="179"/>
      <c r="F9" s="177"/>
      <c r="G9" s="178"/>
      <c r="H9" s="177"/>
      <c r="I9" s="176"/>
      <c r="L9" s="54" t="s">
        <v>169</v>
      </c>
      <c r="Q9" s="183">
        <v>25</v>
      </c>
      <c r="R9" s="183">
        <v>150</v>
      </c>
      <c r="S9" s="182">
        <f t="shared" si="0"/>
        <v>833.33333333333337</v>
      </c>
      <c r="T9" s="182">
        <f>Q9/F$5</f>
        <v>833.33333333333337</v>
      </c>
    </row>
    <row r="10" spans="2:20" x14ac:dyDescent="0.2">
      <c r="B10" s="181"/>
      <c r="C10" s="180"/>
      <c r="D10" s="178"/>
      <c r="E10" s="179"/>
      <c r="F10" s="177"/>
      <c r="G10" s="178"/>
      <c r="H10" s="177"/>
      <c r="I10" s="176"/>
      <c r="L10" s="54" t="s">
        <v>168</v>
      </c>
    </row>
    <row r="11" spans="2:20" x14ac:dyDescent="0.2">
      <c r="B11" s="181"/>
      <c r="C11" s="180"/>
      <c r="D11" s="178"/>
      <c r="E11" s="179"/>
      <c r="F11" s="177"/>
      <c r="G11" s="178"/>
      <c r="H11" s="177"/>
      <c r="I11" s="176"/>
      <c r="L11" s="54" t="s">
        <v>167</v>
      </c>
    </row>
    <row r="12" spans="2:20" x14ac:dyDescent="0.2">
      <c r="B12" s="181"/>
      <c r="C12" s="180"/>
      <c r="D12" s="178"/>
      <c r="E12" s="179"/>
      <c r="F12" s="177"/>
      <c r="G12" s="178"/>
      <c r="H12" s="177"/>
      <c r="I12" s="176"/>
    </row>
    <row r="13" spans="2:20" x14ac:dyDescent="0.2">
      <c r="B13" s="181"/>
      <c r="C13" s="180"/>
      <c r="D13" s="178"/>
      <c r="E13" s="179"/>
      <c r="F13" s="177"/>
      <c r="G13" s="178"/>
      <c r="H13" s="177"/>
      <c r="I13" s="176"/>
    </row>
    <row r="14" spans="2:20" x14ac:dyDescent="0.2">
      <c r="B14" s="181"/>
      <c r="C14" s="180"/>
      <c r="D14" s="178"/>
      <c r="E14" s="179"/>
      <c r="F14" s="177"/>
      <c r="G14" s="178"/>
      <c r="H14" s="177"/>
      <c r="I14" s="176"/>
    </row>
    <row r="15" spans="2:20" x14ac:dyDescent="0.2">
      <c r="B15" s="181"/>
      <c r="C15" s="180"/>
      <c r="D15" s="178"/>
      <c r="E15" s="179"/>
      <c r="F15" s="177"/>
      <c r="G15" s="178"/>
      <c r="H15" s="177"/>
      <c r="I15" s="176"/>
    </row>
    <row r="16" spans="2:20" x14ac:dyDescent="0.2">
      <c r="D16" s="175">
        <f>SUM(D5:D15)</f>
        <v>145.65</v>
      </c>
    </row>
    <row r="17" spans="2:9" x14ac:dyDescent="0.2">
      <c r="B17" s="168" t="s">
        <v>166</v>
      </c>
    </row>
    <row r="18" spans="2:9" x14ac:dyDescent="0.2">
      <c r="H18" s="167" t="s">
        <v>165</v>
      </c>
      <c r="I18" s="167" t="s">
        <v>164</v>
      </c>
    </row>
    <row r="19" spans="2:9" hidden="1" x14ac:dyDescent="0.2">
      <c r="B19" s="169" t="s">
        <v>163</v>
      </c>
    </row>
    <row r="20" spans="2:9" ht="15" hidden="1" x14ac:dyDescent="0.2">
      <c r="B20" s="168" t="s">
        <v>162</v>
      </c>
      <c r="E20" s="167" t="s">
        <v>161</v>
      </c>
      <c r="F20" s="167" t="s">
        <v>160</v>
      </c>
      <c r="G20" s="174">
        <f>PI()*(G24/2)*(G25/2)*G29</f>
        <v>5.0677738825210096E-3</v>
      </c>
    </row>
    <row r="21" spans="2:9" hidden="1" x14ac:dyDescent="0.2">
      <c r="B21" s="168" t="s">
        <v>159</v>
      </c>
      <c r="E21" s="167" t="s">
        <v>92</v>
      </c>
      <c r="F21" s="167" t="s">
        <v>96</v>
      </c>
      <c r="G21" s="55">
        <f>G30*(G31*G26)^0.5</f>
        <v>0.1414213562373095</v>
      </c>
    </row>
    <row r="22" spans="2:9" ht="15.75" hidden="1" x14ac:dyDescent="0.2">
      <c r="B22" s="168" t="s">
        <v>158</v>
      </c>
      <c r="E22" s="167" t="s">
        <v>157</v>
      </c>
      <c r="F22" s="167" t="s">
        <v>15</v>
      </c>
      <c r="G22" s="55">
        <f>PRODUCT(G20:G21)</f>
        <v>7.1669145557013683E-4</v>
      </c>
    </row>
    <row r="23" spans="2:9" hidden="1" x14ac:dyDescent="0.2">
      <c r="B23" s="168" t="s">
        <v>156</v>
      </c>
      <c r="E23" s="167" t="s">
        <v>155</v>
      </c>
      <c r="F23" s="167" t="s">
        <v>94</v>
      </c>
      <c r="G23" s="55">
        <v>110</v>
      </c>
    </row>
    <row r="24" spans="2:9" ht="15.75" hidden="1" x14ac:dyDescent="0.2">
      <c r="B24" s="168"/>
      <c r="E24" s="167" t="s">
        <v>154</v>
      </c>
      <c r="F24" s="167" t="s">
        <v>153</v>
      </c>
      <c r="G24" s="173">
        <v>9.6000000000000002E-2</v>
      </c>
    </row>
    <row r="25" spans="2:9" ht="15.75" hidden="1" x14ac:dyDescent="0.2">
      <c r="B25" s="168"/>
      <c r="E25" s="167" t="s">
        <v>152</v>
      </c>
      <c r="G25" s="173">
        <f>G24/SIN(RADIANS(90-G27))</f>
        <v>9.6019198080383908E-2</v>
      </c>
    </row>
    <row r="26" spans="2:9" hidden="1" x14ac:dyDescent="0.2">
      <c r="B26" s="168" t="s">
        <v>151</v>
      </c>
      <c r="E26" s="167" t="s">
        <v>150</v>
      </c>
      <c r="F26" s="167" t="s">
        <v>144</v>
      </c>
      <c r="G26" s="171">
        <v>0.02</v>
      </c>
    </row>
    <row r="27" spans="2:9" hidden="1" x14ac:dyDescent="0.2">
      <c r="B27" s="168"/>
      <c r="F27" s="167" t="s">
        <v>149</v>
      </c>
      <c r="G27" s="172">
        <f>DEGREES(ATAN((G26*100)/100))</f>
        <v>1.1457628381751035</v>
      </c>
    </row>
    <row r="28" spans="2:9" ht="15.75" hidden="1" x14ac:dyDescent="0.2">
      <c r="B28" s="168" t="s">
        <v>148</v>
      </c>
      <c r="E28" s="167" t="s">
        <v>147</v>
      </c>
      <c r="F28" s="167" t="s">
        <v>94</v>
      </c>
      <c r="G28" s="55">
        <v>0.4</v>
      </c>
    </row>
    <row r="29" spans="2:9" hidden="1" x14ac:dyDescent="0.2">
      <c r="B29" s="168" t="s">
        <v>146</v>
      </c>
      <c r="E29" s="167" t="s">
        <v>145</v>
      </c>
      <c r="F29" s="167" t="s">
        <v>144</v>
      </c>
      <c r="G29" s="171">
        <v>0.7</v>
      </c>
    </row>
    <row r="30" spans="2:9" ht="15" hidden="1" x14ac:dyDescent="0.2">
      <c r="B30" s="168" t="s">
        <v>143</v>
      </c>
      <c r="E30" s="167" t="s">
        <v>50</v>
      </c>
      <c r="F30" s="167" t="s">
        <v>142</v>
      </c>
      <c r="G30" s="55">
        <v>1</v>
      </c>
    </row>
    <row r="31" spans="2:9" hidden="1" x14ac:dyDescent="0.2">
      <c r="B31" s="170" t="s">
        <v>141</v>
      </c>
      <c r="C31" s="170"/>
      <c r="D31" s="170"/>
      <c r="E31" s="167" t="s">
        <v>140</v>
      </c>
      <c r="G31" s="55">
        <v>1</v>
      </c>
    </row>
    <row r="32" spans="2:9" x14ac:dyDescent="0.2">
      <c r="B32" s="168"/>
      <c r="H32" s="167" t="s">
        <v>139</v>
      </c>
      <c r="I32" s="167" t="s">
        <v>138</v>
      </c>
    </row>
    <row r="36" spans="2:2" x14ac:dyDescent="0.2">
      <c r="B36" s="169"/>
    </row>
    <row r="38" spans="2:2" x14ac:dyDescent="0.2">
      <c r="B38" s="168"/>
    </row>
    <row r="39" spans="2:2" x14ac:dyDescent="0.2">
      <c r="B39" s="168"/>
    </row>
    <row r="40" spans="2:2" x14ac:dyDescent="0.2">
      <c r="B40" s="168"/>
    </row>
    <row r="41" spans="2:2" x14ac:dyDescent="0.2">
      <c r="B41" s="168"/>
    </row>
    <row r="42" spans="2:2" x14ac:dyDescent="0.2">
      <c r="B42" s="168"/>
    </row>
    <row r="43" spans="2:2" x14ac:dyDescent="0.2">
      <c r="B43" s="168"/>
    </row>
    <row r="44" spans="2:2" x14ac:dyDescent="0.2">
      <c r="B44" s="168"/>
    </row>
  </sheetData>
  <mergeCells count="15">
    <mergeCell ref="L3:L4"/>
    <mergeCell ref="M3:M4"/>
    <mergeCell ref="Q3:Q4"/>
    <mergeCell ref="R3:R4"/>
    <mergeCell ref="B31:D31"/>
    <mergeCell ref="B1:I1"/>
    <mergeCell ref="B2:I2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topLeftCell="A4" workbookViewId="0">
      <selection activeCell="J17" sqref="J17"/>
    </sheetView>
  </sheetViews>
  <sheetFormatPr defaultRowHeight="15" x14ac:dyDescent="0.25"/>
  <cols>
    <col min="1" max="1" width="1.5703125" style="209" customWidth="1"/>
    <col min="2" max="2" width="13.140625" style="209" customWidth="1"/>
    <col min="3" max="3" width="26.140625" style="209" customWidth="1"/>
    <col min="4" max="4" width="9.140625" style="209"/>
    <col min="5" max="5" width="9.140625" style="210"/>
    <col min="6" max="6" width="9.140625" style="209"/>
    <col min="7" max="7" width="1.5703125" style="209" customWidth="1"/>
    <col min="8" max="8" width="4.140625" style="74" customWidth="1"/>
    <col min="9" max="9" width="11.7109375" style="74" customWidth="1"/>
    <col min="10" max="10" width="7" style="74" customWidth="1"/>
    <col min="11" max="11" width="9.140625" style="74"/>
    <col min="12" max="12" width="13.28515625" style="74" customWidth="1"/>
    <col min="13" max="13" width="9.140625" style="74"/>
    <col min="14" max="14" width="11" style="74" customWidth="1"/>
    <col min="15" max="16384" width="9.140625" style="209"/>
  </cols>
  <sheetData>
    <row r="1" spans="1:14" ht="15.75" thickBot="1" x14ac:dyDescent="0.3">
      <c r="B1" s="94" t="s">
        <v>222</v>
      </c>
      <c r="H1" s="209"/>
      <c r="I1" s="209"/>
      <c r="J1" s="209"/>
      <c r="K1" s="209"/>
      <c r="L1" s="209"/>
      <c r="M1" s="209"/>
      <c r="N1" s="209"/>
    </row>
    <row r="2" spans="1:14" x14ac:dyDescent="0.25">
      <c r="B2" s="263" t="s">
        <v>221</v>
      </c>
      <c r="C2" s="262"/>
      <c r="D2" s="261"/>
      <c r="E2" s="261"/>
      <c r="F2" s="260"/>
      <c r="H2" s="209"/>
      <c r="I2" s="209"/>
      <c r="J2" s="209"/>
      <c r="K2" s="209"/>
      <c r="L2" s="209"/>
      <c r="M2" s="209"/>
      <c r="N2" s="209"/>
    </row>
    <row r="3" spans="1:14" ht="27" x14ac:dyDescent="0.25">
      <c r="B3" s="259" t="s">
        <v>220</v>
      </c>
      <c r="C3" s="258"/>
      <c r="D3" s="257" t="s">
        <v>219</v>
      </c>
      <c r="E3" s="257" t="s">
        <v>218</v>
      </c>
      <c r="F3" s="256" t="s">
        <v>217</v>
      </c>
      <c r="H3" s="209"/>
      <c r="I3" s="209"/>
      <c r="J3" s="209"/>
      <c r="K3" s="209"/>
      <c r="L3" s="209"/>
      <c r="M3" s="209"/>
      <c r="N3" s="209"/>
    </row>
    <row r="4" spans="1:14" ht="15.75" x14ac:dyDescent="0.3">
      <c r="B4" s="255"/>
      <c r="C4" s="254"/>
      <c r="D4" s="135" t="s">
        <v>215</v>
      </c>
      <c r="E4" s="253" t="s">
        <v>216</v>
      </c>
      <c r="F4" s="252" t="s">
        <v>194</v>
      </c>
      <c r="H4" s="209"/>
      <c r="I4" s="209"/>
      <c r="J4" s="209"/>
      <c r="K4" s="209"/>
      <c r="L4" s="209"/>
      <c r="M4" s="209"/>
      <c r="N4" s="209"/>
    </row>
    <row r="5" spans="1:14" ht="15.75" x14ac:dyDescent="0.25">
      <c r="B5" s="251"/>
      <c r="C5" s="250"/>
      <c r="D5" s="249" t="s">
        <v>193</v>
      </c>
      <c r="E5" s="249" t="s">
        <v>12</v>
      </c>
      <c r="F5" s="248" t="s">
        <v>193</v>
      </c>
      <c r="H5" s="209"/>
      <c r="I5" s="209"/>
      <c r="J5" s="209"/>
      <c r="K5" s="209"/>
      <c r="L5" s="209"/>
      <c r="M5" s="209"/>
      <c r="N5" s="209"/>
    </row>
    <row r="6" spans="1:14" ht="27" x14ac:dyDescent="0.25">
      <c r="B6" s="247" t="s">
        <v>215</v>
      </c>
      <c r="C6" s="82" t="s">
        <v>214</v>
      </c>
      <c r="D6" s="233">
        <f>SVODY!D16</f>
        <v>145.65</v>
      </c>
      <c r="E6" s="73">
        <v>0.9</v>
      </c>
      <c r="F6" s="246">
        <f>D6*E6</f>
        <v>131.08500000000001</v>
      </c>
      <c r="H6" s="209"/>
      <c r="I6" s="209"/>
      <c r="J6" s="209"/>
      <c r="K6" s="209"/>
      <c r="L6" s="209"/>
      <c r="M6" s="209"/>
      <c r="N6" s="209"/>
    </row>
    <row r="7" spans="1:14" x14ac:dyDescent="0.25">
      <c r="B7" s="247" t="s">
        <v>213</v>
      </c>
      <c r="C7" s="82" t="s">
        <v>212</v>
      </c>
      <c r="D7" s="233">
        <v>0</v>
      </c>
      <c r="E7" s="73">
        <v>0.4</v>
      </c>
      <c r="F7" s="246">
        <f>D7*E7</f>
        <v>0</v>
      </c>
      <c r="H7" s="209"/>
      <c r="I7" s="209"/>
      <c r="J7" s="209"/>
      <c r="K7" s="209"/>
      <c r="L7" s="209"/>
      <c r="M7" s="209"/>
      <c r="N7" s="209"/>
    </row>
    <row r="8" spans="1:14" ht="15.75" thickBot="1" x14ac:dyDescent="0.3">
      <c r="B8" s="228" t="s">
        <v>211</v>
      </c>
      <c r="C8" s="213" t="s">
        <v>210</v>
      </c>
      <c r="D8" s="230">
        <v>0</v>
      </c>
      <c r="E8" s="226">
        <v>0.05</v>
      </c>
      <c r="F8" s="245">
        <f>D8*E8</f>
        <v>0</v>
      </c>
      <c r="H8" s="209"/>
      <c r="I8" s="209"/>
      <c r="J8" s="209"/>
      <c r="K8" s="209"/>
      <c r="L8" s="209"/>
      <c r="M8" s="209"/>
      <c r="N8" s="209"/>
    </row>
    <row r="9" spans="1:14" x14ac:dyDescent="0.25">
      <c r="B9" s="244"/>
      <c r="C9" s="243"/>
      <c r="D9" s="242"/>
      <c r="E9" s="241" t="s">
        <v>209</v>
      </c>
      <c r="F9" s="240">
        <f>SUM(F6:F8)</f>
        <v>131.08500000000001</v>
      </c>
      <c r="H9" s="209"/>
      <c r="I9" s="209"/>
      <c r="J9" s="209"/>
      <c r="K9" s="209"/>
      <c r="L9" s="209"/>
      <c r="M9" s="209"/>
      <c r="N9" s="209"/>
    </row>
    <row r="10" spans="1:14" x14ac:dyDescent="0.25">
      <c r="B10" s="239" t="s">
        <v>208</v>
      </c>
      <c r="C10" s="238" t="s">
        <v>207</v>
      </c>
      <c r="D10" s="237"/>
      <c r="E10" s="236"/>
      <c r="F10" s="235"/>
      <c r="H10" s="209"/>
      <c r="I10" s="209"/>
      <c r="J10" s="209"/>
      <c r="K10" s="209"/>
      <c r="L10" s="209"/>
      <c r="M10" s="209"/>
      <c r="N10" s="209"/>
    </row>
    <row r="11" spans="1:14" x14ac:dyDescent="0.25">
      <c r="B11" s="234"/>
      <c r="C11" s="82" t="s">
        <v>206</v>
      </c>
      <c r="D11" s="233">
        <v>680</v>
      </c>
      <c r="E11" s="135" t="s">
        <v>205</v>
      </c>
      <c r="F11" s="232"/>
      <c r="H11" s="209"/>
      <c r="I11" s="209"/>
      <c r="J11" s="209"/>
      <c r="K11" s="209"/>
      <c r="L11" s="209"/>
      <c r="M11" s="209"/>
      <c r="N11" s="209"/>
    </row>
    <row r="12" spans="1:14" ht="15.75" thickBot="1" x14ac:dyDescent="0.3">
      <c r="B12" s="231" t="s">
        <v>223</v>
      </c>
      <c r="C12" s="213" t="s">
        <v>224</v>
      </c>
      <c r="D12" s="230">
        <f>1/1000*D11</f>
        <v>0.68</v>
      </c>
      <c r="E12" s="212" t="s">
        <v>204</v>
      </c>
      <c r="F12" s="229"/>
      <c r="H12" s="209"/>
      <c r="I12" s="209"/>
      <c r="J12" s="209"/>
      <c r="K12" s="209"/>
      <c r="L12" s="209"/>
      <c r="M12" s="209"/>
      <c r="N12" s="209"/>
    </row>
    <row r="13" spans="1:14" ht="16.5" thickBot="1" x14ac:dyDescent="0.35">
      <c r="B13" s="228" t="s">
        <v>203</v>
      </c>
      <c r="C13" s="227"/>
      <c r="D13" s="226" t="s">
        <v>202</v>
      </c>
      <c r="E13" s="212" t="s">
        <v>201</v>
      </c>
      <c r="F13" s="225">
        <f>D12*F9</f>
        <v>89.137800000000013</v>
      </c>
      <c r="H13" s="209"/>
      <c r="I13" s="209"/>
      <c r="J13" s="209"/>
      <c r="K13" s="209"/>
      <c r="L13" s="209"/>
      <c r="M13" s="209"/>
      <c r="N13" s="209"/>
    </row>
    <row r="14" spans="1:14" x14ac:dyDescent="0.25">
      <c r="E14" s="209"/>
      <c r="H14" s="209"/>
      <c r="I14" s="209"/>
      <c r="J14" s="209"/>
      <c r="K14" s="209"/>
      <c r="L14" s="209"/>
      <c r="M14" s="209"/>
      <c r="N14" s="209"/>
    </row>
    <row r="15" spans="1:14" ht="15.75" x14ac:dyDescent="0.25">
      <c r="A15" s="215"/>
      <c r="B15" s="224" t="s">
        <v>200</v>
      </c>
      <c r="C15" s="223"/>
      <c r="D15" s="134" t="s">
        <v>199</v>
      </c>
      <c r="E15" s="134" t="s">
        <v>198</v>
      </c>
      <c r="F15" s="132">
        <v>0.5</v>
      </c>
      <c r="H15" s="209"/>
      <c r="I15" s="209"/>
      <c r="J15" s="209"/>
      <c r="K15" s="209"/>
      <c r="L15" s="209"/>
      <c r="M15" s="209"/>
      <c r="N15" s="209"/>
    </row>
    <row r="16" spans="1:14" ht="15.75" x14ac:dyDescent="0.25">
      <c r="A16" s="215"/>
      <c r="B16" s="222" t="s">
        <v>197</v>
      </c>
      <c r="C16" s="221"/>
      <c r="D16" s="135" t="s">
        <v>196</v>
      </c>
      <c r="E16" s="135" t="s">
        <v>195</v>
      </c>
      <c r="F16" s="136">
        <f>164/10000</f>
        <v>1.6400000000000001E-2</v>
      </c>
      <c r="H16" s="209"/>
      <c r="I16" s="209"/>
      <c r="J16" s="209"/>
      <c r="K16" s="209"/>
      <c r="L16" s="209"/>
      <c r="M16" s="209"/>
      <c r="N16" s="209"/>
    </row>
    <row r="17" spans="1:14" ht="16.5" thickBot="1" x14ac:dyDescent="0.35">
      <c r="A17" s="215"/>
      <c r="B17" s="222" t="str">
        <f>F3</f>
        <v>redukovaná plocha</v>
      </c>
      <c r="C17" s="221"/>
      <c r="D17" s="135" t="s">
        <v>194</v>
      </c>
      <c r="E17" s="220" t="s">
        <v>193</v>
      </c>
      <c r="F17" s="219">
        <f>F9</f>
        <v>131.08500000000001</v>
      </c>
      <c r="H17" s="209"/>
      <c r="I17" s="209"/>
      <c r="J17" s="209"/>
      <c r="K17" s="209"/>
      <c r="L17" s="209"/>
      <c r="M17" s="209"/>
      <c r="N17" s="209"/>
    </row>
    <row r="18" spans="1:14" x14ac:dyDescent="0.25">
      <c r="A18" s="215"/>
      <c r="B18" s="218" t="s">
        <v>192</v>
      </c>
      <c r="C18" s="217"/>
      <c r="D18" s="133" t="s">
        <v>191</v>
      </c>
      <c r="E18" s="133" t="s">
        <v>15</v>
      </c>
      <c r="F18" s="216">
        <f>PRODUCT(F16:F17)</f>
        <v>2.1497940000000004</v>
      </c>
      <c r="H18" s="209"/>
      <c r="I18" s="209"/>
      <c r="J18" s="209"/>
      <c r="K18" s="209"/>
      <c r="L18" s="209"/>
      <c r="M18" s="209"/>
      <c r="N18" s="209"/>
    </row>
    <row r="19" spans="1:14" ht="16.5" thickBot="1" x14ac:dyDescent="0.35">
      <c r="A19" s="215"/>
      <c r="B19" s="214" t="s">
        <v>190</v>
      </c>
      <c r="C19" s="213"/>
      <c r="D19" s="213"/>
      <c r="E19" s="212"/>
      <c r="F19" s="211"/>
      <c r="H19" s="209"/>
      <c r="I19" s="209"/>
      <c r="J19" s="209"/>
      <c r="K19" s="209"/>
      <c r="L19" s="209"/>
      <c r="M19" s="209"/>
      <c r="N19" s="209"/>
    </row>
  </sheetData>
  <mergeCells count="2">
    <mergeCell ref="D2:F2"/>
    <mergeCell ref="B3:C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"/>
  <sheetViews>
    <sheetView workbookViewId="0">
      <selection activeCell="M9" sqref="M9"/>
    </sheetView>
  </sheetViews>
  <sheetFormatPr defaultRowHeight="12" x14ac:dyDescent="0.2"/>
  <cols>
    <col min="1" max="2" width="1.7109375" style="6" customWidth="1"/>
    <col min="3" max="3" width="27.85546875" style="6" customWidth="1"/>
    <col min="4" max="4" width="33.28515625" style="6" customWidth="1"/>
    <col min="5" max="5" width="16.42578125" style="35" customWidth="1"/>
    <col min="6" max="6" width="12" style="35" customWidth="1"/>
    <col min="7" max="7" width="7.28515625" style="6" customWidth="1"/>
    <col min="8" max="9" width="1.7109375" style="6" customWidth="1"/>
    <col min="10" max="16384" width="9.140625" style="6"/>
  </cols>
  <sheetData>
    <row r="2" spans="2:8" ht="15" x14ac:dyDescent="0.3">
      <c r="B2" s="1"/>
      <c r="C2" s="2" t="s">
        <v>110</v>
      </c>
      <c r="D2" s="2"/>
      <c r="E2" s="3"/>
      <c r="F2" s="3"/>
      <c r="G2" s="4"/>
      <c r="H2" s="5"/>
    </row>
    <row r="3" spans="2:8" ht="15" x14ac:dyDescent="0.3">
      <c r="B3" s="7"/>
      <c r="C3" s="53" t="s">
        <v>33</v>
      </c>
      <c r="D3" s="53"/>
      <c r="E3" s="9"/>
      <c r="F3" s="9"/>
      <c r="G3" s="8"/>
      <c r="H3" s="10"/>
    </row>
    <row r="4" spans="2:8" ht="12.75" thickBot="1" x14ac:dyDescent="0.25">
      <c r="B4" s="7"/>
      <c r="C4" s="36" t="s">
        <v>18</v>
      </c>
      <c r="D4" s="36"/>
      <c r="E4" s="9"/>
      <c r="F4" s="9"/>
      <c r="G4" s="8"/>
      <c r="H4" s="10"/>
    </row>
    <row r="5" spans="2:8" x14ac:dyDescent="0.2">
      <c r="B5" s="7"/>
      <c r="C5" s="137" t="s">
        <v>35</v>
      </c>
      <c r="D5" s="138"/>
      <c r="E5" s="138"/>
      <c r="F5" s="138"/>
      <c r="G5" s="141">
        <f>G8</f>
        <v>8</v>
      </c>
      <c r="H5" s="10"/>
    </row>
    <row r="6" spans="2:8" ht="20.25" customHeight="1" thickBot="1" x14ac:dyDescent="0.25">
      <c r="B6" s="7"/>
      <c r="C6" s="139"/>
      <c r="D6" s="140"/>
      <c r="E6" s="140"/>
      <c r="F6" s="140"/>
      <c r="G6" s="142"/>
      <c r="H6" s="10"/>
    </row>
    <row r="7" spans="2:8" ht="12.75" thickBot="1" x14ac:dyDescent="0.25">
      <c r="B7" s="7"/>
      <c r="C7" s="8"/>
      <c r="D7" s="8"/>
      <c r="E7" s="9"/>
      <c r="F7" s="9"/>
      <c r="G7" s="8"/>
      <c r="H7" s="10"/>
    </row>
    <row r="8" spans="2:8" ht="14.25" x14ac:dyDescent="0.25">
      <c r="B8" s="7"/>
      <c r="C8" s="11" t="s">
        <v>32</v>
      </c>
      <c r="D8" s="45"/>
      <c r="E8" s="12" t="s">
        <v>109</v>
      </c>
      <c r="F8" s="12" t="s">
        <v>2</v>
      </c>
      <c r="G8" s="13">
        <f>G18</f>
        <v>8</v>
      </c>
      <c r="H8" s="10"/>
    </row>
    <row r="9" spans="2:8" ht="13.5" x14ac:dyDescent="0.2">
      <c r="B9" s="7"/>
      <c r="C9" s="14" t="s">
        <v>3</v>
      </c>
      <c r="D9" s="4"/>
      <c r="E9" s="3" t="s">
        <v>4</v>
      </c>
      <c r="F9" s="3" t="s">
        <v>5</v>
      </c>
      <c r="G9" s="15"/>
      <c r="H9" s="10"/>
    </row>
    <row r="10" spans="2:8" x14ac:dyDescent="0.2">
      <c r="B10" s="7"/>
      <c r="C10" s="16" t="s">
        <v>6</v>
      </c>
      <c r="D10" s="46"/>
      <c r="E10" s="17"/>
      <c r="F10" s="17"/>
      <c r="G10" s="18"/>
      <c r="H10" s="10"/>
    </row>
    <row r="11" spans="2:8" x14ac:dyDescent="0.2">
      <c r="B11" s="7"/>
      <c r="C11" s="14" t="s">
        <v>113</v>
      </c>
      <c r="D11" s="4"/>
      <c r="E11" s="3"/>
      <c r="F11" s="19"/>
      <c r="G11" s="15"/>
      <c r="H11" s="10"/>
    </row>
    <row r="12" spans="2:8" ht="13.5" customHeight="1" x14ac:dyDescent="0.2">
      <c r="B12" s="7"/>
      <c r="C12" s="104" t="s">
        <v>114</v>
      </c>
      <c r="D12" s="103"/>
      <c r="E12" s="22" t="s">
        <v>27</v>
      </c>
      <c r="F12" s="9" t="s">
        <v>28</v>
      </c>
      <c r="G12" s="21">
        <v>20</v>
      </c>
      <c r="H12" s="10"/>
    </row>
    <row r="13" spans="2:8" x14ac:dyDescent="0.2">
      <c r="B13" s="7"/>
      <c r="C13" s="20"/>
      <c r="D13" s="8"/>
      <c r="E13" s="22" t="s">
        <v>7</v>
      </c>
      <c r="F13" s="9" t="s">
        <v>29</v>
      </c>
      <c r="G13" s="21">
        <v>250</v>
      </c>
      <c r="H13" s="10"/>
    </row>
    <row r="14" spans="2:8" ht="13.5" x14ac:dyDescent="0.2">
      <c r="B14" s="7"/>
      <c r="C14" s="20"/>
      <c r="D14" s="8"/>
      <c r="E14" s="22" t="s">
        <v>34</v>
      </c>
      <c r="F14" s="9" t="s">
        <v>30</v>
      </c>
      <c r="G14" s="51">
        <f>G12/G13</f>
        <v>0.08</v>
      </c>
      <c r="H14" s="10"/>
    </row>
    <row r="15" spans="2:8" x14ac:dyDescent="0.2">
      <c r="B15" s="7"/>
      <c r="C15" s="20"/>
      <c r="D15" s="8"/>
      <c r="E15" s="22" t="s">
        <v>31</v>
      </c>
      <c r="F15" s="9" t="s">
        <v>25</v>
      </c>
      <c r="G15" s="21">
        <v>100</v>
      </c>
      <c r="H15" s="10"/>
    </row>
    <row r="16" spans="2:8" ht="14.25" x14ac:dyDescent="0.25">
      <c r="B16" s="7"/>
      <c r="C16" s="20"/>
      <c r="D16" s="8"/>
      <c r="E16" s="22" t="s">
        <v>108</v>
      </c>
      <c r="F16" s="9" t="s">
        <v>2</v>
      </c>
      <c r="G16" s="105">
        <f>PRODUCT(G14:G15)</f>
        <v>8</v>
      </c>
      <c r="H16" s="10"/>
    </row>
    <row r="17" spans="1:11" x14ac:dyDescent="0.2">
      <c r="B17" s="7"/>
      <c r="C17" s="20"/>
      <c r="D17" s="8"/>
      <c r="E17" s="22"/>
      <c r="F17" s="9"/>
      <c r="G17" s="21"/>
      <c r="H17" s="10"/>
    </row>
    <row r="18" spans="1:11" ht="15" thickBot="1" x14ac:dyDescent="0.3">
      <c r="B18" s="7"/>
      <c r="C18" s="23" t="s">
        <v>0</v>
      </c>
      <c r="D18" s="47"/>
      <c r="E18" s="126" t="s">
        <v>109</v>
      </c>
      <c r="F18" s="24" t="s">
        <v>2</v>
      </c>
      <c r="G18" s="52">
        <f>G16</f>
        <v>8</v>
      </c>
      <c r="H18" s="10"/>
    </row>
    <row r="19" spans="1:11" ht="12.75" thickBot="1" x14ac:dyDescent="0.25">
      <c r="B19" s="7"/>
      <c r="C19" s="8"/>
      <c r="D19" s="8"/>
      <c r="E19" s="9"/>
      <c r="F19" s="9"/>
      <c r="G19" s="8"/>
      <c r="H19" s="10"/>
    </row>
    <row r="20" spans="1:11" ht="14.25" x14ac:dyDescent="0.25">
      <c r="B20" s="7"/>
      <c r="C20" s="26" t="s">
        <v>8</v>
      </c>
      <c r="D20" s="48"/>
      <c r="E20" s="27" t="s">
        <v>9</v>
      </c>
      <c r="F20" s="27" t="s">
        <v>2</v>
      </c>
      <c r="G20" s="28">
        <f>PRODUCT(G21:G22)</f>
        <v>10.8</v>
      </c>
      <c r="H20" s="10"/>
    </row>
    <row r="21" spans="1:11" ht="14.25" x14ac:dyDescent="0.25">
      <c r="B21" s="7"/>
      <c r="C21" s="29" t="str">
        <f>C8</f>
        <v>celková specifická potřeba vody</v>
      </c>
      <c r="D21" s="49"/>
      <c r="E21" s="30" t="s">
        <v>1</v>
      </c>
      <c r="F21" s="30" t="s">
        <v>2</v>
      </c>
      <c r="G21" s="31">
        <f>G8</f>
        <v>8</v>
      </c>
      <c r="H21" s="10"/>
    </row>
    <row r="22" spans="1:11" ht="14.25" thickBot="1" x14ac:dyDescent="0.3">
      <c r="B22" s="7"/>
      <c r="C22" s="23" t="s">
        <v>10</v>
      </c>
      <c r="D22" s="47"/>
      <c r="E22" s="24" t="s">
        <v>11</v>
      </c>
      <c r="F22" s="24" t="s">
        <v>12</v>
      </c>
      <c r="G22" s="25">
        <v>1.35</v>
      </c>
      <c r="H22" s="10"/>
    </row>
    <row r="23" spans="1:11" ht="12.75" thickBot="1" x14ac:dyDescent="0.25">
      <c r="B23" s="7"/>
      <c r="C23" s="8"/>
      <c r="D23" s="8"/>
      <c r="E23" s="9"/>
      <c r="F23" s="9"/>
      <c r="G23" s="8"/>
      <c r="H23" s="10"/>
    </row>
    <row r="24" spans="1:11" ht="13.5" x14ac:dyDescent="0.25">
      <c r="B24" s="7"/>
      <c r="C24" s="11" t="s">
        <v>13</v>
      </c>
      <c r="D24" s="45"/>
      <c r="E24" s="12" t="s">
        <v>14</v>
      </c>
      <c r="F24" s="12" t="s">
        <v>15</v>
      </c>
      <c r="G24" s="13">
        <f>G26*((G25*1000)/(24*3600))</f>
        <v>0.26250000000000001</v>
      </c>
      <c r="H24" s="10"/>
    </row>
    <row r="25" spans="1:11" ht="14.25" x14ac:dyDescent="0.25">
      <c r="B25" s="7"/>
      <c r="C25" s="29" t="str">
        <f>C20</f>
        <v>maximální denní potřeba vody</v>
      </c>
      <c r="D25" s="49"/>
      <c r="E25" s="30" t="s">
        <v>9</v>
      </c>
      <c r="F25" s="30" t="s">
        <v>2</v>
      </c>
      <c r="G25" s="31">
        <f>G20</f>
        <v>10.8</v>
      </c>
      <c r="H25" s="10"/>
    </row>
    <row r="26" spans="1:11" ht="14.25" thickBot="1" x14ac:dyDescent="0.3">
      <c r="B26" s="7"/>
      <c r="C26" s="23" t="s">
        <v>16</v>
      </c>
      <c r="D26" s="47"/>
      <c r="E26" s="24" t="s">
        <v>17</v>
      </c>
      <c r="F26" s="24" t="s">
        <v>12</v>
      </c>
      <c r="G26" s="25">
        <v>2.1</v>
      </c>
      <c r="H26" s="10"/>
    </row>
    <row r="27" spans="1:11" x14ac:dyDescent="0.2">
      <c r="B27" s="7"/>
      <c r="C27" s="143"/>
      <c r="D27" s="143"/>
      <c r="E27" s="143"/>
      <c r="F27" s="143"/>
      <c r="G27" s="143"/>
      <c r="H27" s="10"/>
    </row>
    <row r="28" spans="1:11" x14ac:dyDescent="0.2">
      <c r="A28" s="8"/>
      <c r="B28" s="7"/>
      <c r="C28" s="36" t="s">
        <v>37</v>
      </c>
      <c r="D28" s="36"/>
      <c r="E28" s="9"/>
      <c r="F28" s="9"/>
      <c r="G28" s="8"/>
      <c r="H28" s="10"/>
      <c r="I28" s="8"/>
      <c r="J28" s="8"/>
      <c r="K28" s="8"/>
    </row>
    <row r="29" spans="1:11" ht="12.75" thickBot="1" x14ac:dyDescent="0.25">
      <c r="B29" s="7"/>
      <c r="C29" s="8" t="s">
        <v>19</v>
      </c>
      <c r="D29" s="8"/>
      <c r="E29" s="9"/>
      <c r="F29" s="9"/>
      <c r="G29" s="8"/>
      <c r="H29" s="10"/>
    </row>
    <row r="30" spans="1:11" ht="13.5" x14ac:dyDescent="0.25">
      <c r="B30" s="7"/>
      <c r="C30" s="11" t="s">
        <v>20</v>
      </c>
      <c r="D30" s="45"/>
      <c r="E30" s="12" t="s">
        <v>22</v>
      </c>
      <c r="F30" s="12" t="s">
        <v>26</v>
      </c>
      <c r="G30" s="37">
        <v>101</v>
      </c>
      <c r="H30" s="10"/>
    </row>
    <row r="31" spans="1:11" s="39" customFormat="1" ht="24" x14ac:dyDescent="0.25">
      <c r="B31" s="40"/>
      <c r="C31" s="41" t="s">
        <v>115</v>
      </c>
      <c r="D31" s="50"/>
      <c r="E31" s="42" t="s">
        <v>23</v>
      </c>
      <c r="F31" s="42" t="s">
        <v>107</v>
      </c>
      <c r="G31" s="43">
        <f>'POSUDEK PŘÍPOJKY'!M12</f>
        <v>18</v>
      </c>
      <c r="H31" s="44"/>
    </row>
    <row r="32" spans="1:11" ht="15" thickBot="1" x14ac:dyDescent="0.3">
      <c r="B32" s="7"/>
      <c r="C32" s="23" t="s">
        <v>36</v>
      </c>
      <c r="D32" s="47"/>
      <c r="E32" s="24" t="s">
        <v>24</v>
      </c>
      <c r="F32" s="24" t="s">
        <v>2</v>
      </c>
      <c r="G32" s="38">
        <f>PRODUCT(G30:G31)/1000</f>
        <v>1.8180000000000001</v>
      </c>
      <c r="H32" s="10"/>
    </row>
    <row r="33" spans="2:8" x14ac:dyDescent="0.2">
      <c r="B33" s="32"/>
      <c r="C33" s="33"/>
      <c r="D33" s="33"/>
      <c r="E33" s="17"/>
      <c r="F33" s="17"/>
      <c r="G33" s="33"/>
      <c r="H33" s="34"/>
    </row>
  </sheetData>
  <mergeCells count="3">
    <mergeCell ref="C5:F6"/>
    <mergeCell ref="G5:G6"/>
    <mergeCell ref="C27:G27"/>
  </mergeCells>
  <pageMargins left="0.7" right="0.7" top="0.78740157499999996" bottom="0.78740157499999996" header="0.3" footer="0.3"/>
  <pageSetup paperSize="9" orientation="portrait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C25" sqref="B24:C25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3"/>
  <sheetViews>
    <sheetView zoomScale="130" zoomScaleNormal="130" workbookViewId="0">
      <selection activeCell="B2" sqref="B2:V13"/>
    </sheetView>
  </sheetViews>
  <sheetFormatPr defaultRowHeight="13.5" x14ac:dyDescent="0.25"/>
  <cols>
    <col min="1" max="1" width="9.140625" style="74"/>
    <col min="2" max="3" width="9.140625" style="73"/>
    <col min="4" max="6" width="5.28515625" style="73" customWidth="1"/>
    <col min="7" max="7" width="3.7109375" style="73" customWidth="1"/>
    <col min="8" max="14" width="3.5703125" style="73" customWidth="1"/>
    <col min="15" max="15" width="4.7109375" style="73" customWidth="1"/>
    <col min="16" max="17" width="4.28515625" style="73" customWidth="1"/>
    <col min="18" max="18" width="3.28515625" style="73" customWidth="1"/>
    <col min="19" max="19" width="3.85546875" style="73" customWidth="1"/>
    <col min="20" max="20" width="3.85546875" style="73" hidden="1" customWidth="1"/>
    <col min="21" max="21" width="8.140625" style="73" hidden="1" customWidth="1"/>
    <col min="22" max="23" width="7.42578125" style="78" customWidth="1"/>
    <col min="24" max="24" width="7.42578125" style="73" customWidth="1"/>
    <col min="25" max="25" width="7.5703125" style="73" customWidth="1"/>
    <col min="26" max="16384" width="9.140625" style="74"/>
  </cols>
  <sheetData>
    <row r="2" spans="2:25" x14ac:dyDescent="0.25">
      <c r="B2" s="77" t="s">
        <v>68</v>
      </c>
      <c r="C2" s="77"/>
    </row>
    <row r="3" spans="2:25" ht="14.25" thickBot="1" x14ac:dyDescent="0.3">
      <c r="B3" s="77" t="s">
        <v>69</v>
      </c>
      <c r="C3" s="77"/>
    </row>
    <row r="4" spans="2:25" ht="14.25" thickBot="1" x14ac:dyDescent="0.3">
      <c r="B4" s="122" t="s">
        <v>70</v>
      </c>
      <c r="C4" s="123" t="s">
        <v>111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/>
      <c r="P4" s="159" t="s">
        <v>106</v>
      </c>
      <c r="Q4" s="159"/>
      <c r="R4" s="159"/>
      <c r="S4" s="159"/>
      <c r="T4" s="159"/>
      <c r="U4" s="159"/>
      <c r="V4" s="160"/>
      <c r="W4" s="73"/>
    </row>
    <row r="5" spans="2:25" s="82" customFormat="1" ht="27" x14ac:dyDescent="0.25">
      <c r="B5" s="161" t="s">
        <v>112</v>
      </c>
      <c r="C5" s="162"/>
      <c r="D5" s="163" t="s">
        <v>71</v>
      </c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5"/>
      <c r="P5" s="166" t="s">
        <v>72</v>
      </c>
      <c r="Q5" s="166"/>
      <c r="R5" s="166" t="s">
        <v>73</v>
      </c>
      <c r="S5" s="166"/>
      <c r="T5" s="166"/>
      <c r="U5" s="166"/>
      <c r="V5" s="80" t="s">
        <v>74</v>
      </c>
      <c r="W5" s="81"/>
      <c r="X5" s="157" t="s">
        <v>74</v>
      </c>
      <c r="Y5" s="158"/>
    </row>
    <row r="6" spans="2:25" s="82" customFormat="1" ht="77.25" x14ac:dyDescent="0.3">
      <c r="B6" s="112"/>
      <c r="C6" s="102"/>
      <c r="D6" s="109" t="s">
        <v>75</v>
      </c>
      <c r="E6" s="109" t="s">
        <v>76</v>
      </c>
      <c r="F6" s="109" t="s">
        <v>77</v>
      </c>
      <c r="G6" s="109" t="s">
        <v>78</v>
      </c>
      <c r="H6" s="109" t="s">
        <v>79</v>
      </c>
      <c r="I6" s="109" t="s">
        <v>80</v>
      </c>
      <c r="J6" s="109" t="s">
        <v>81</v>
      </c>
      <c r="K6" s="109" t="s">
        <v>82</v>
      </c>
      <c r="L6" s="109" t="s">
        <v>83</v>
      </c>
      <c r="M6" s="109" t="s">
        <v>84</v>
      </c>
      <c r="N6" s="109" t="s">
        <v>85</v>
      </c>
      <c r="O6" s="113" t="s">
        <v>86</v>
      </c>
      <c r="P6" s="148" t="s">
        <v>87</v>
      </c>
      <c r="Q6" s="148"/>
      <c r="R6" s="76" t="s">
        <v>88</v>
      </c>
      <c r="S6" s="76" t="s">
        <v>89</v>
      </c>
      <c r="T6" s="76" t="s">
        <v>90</v>
      </c>
      <c r="U6" s="76" t="s">
        <v>91</v>
      </c>
      <c r="V6" s="83" t="s">
        <v>92</v>
      </c>
      <c r="W6" s="81"/>
      <c r="X6" s="149" t="s">
        <v>92</v>
      </c>
      <c r="Y6" s="150"/>
    </row>
    <row r="7" spans="2:25" x14ac:dyDescent="0.25">
      <c r="B7" s="114"/>
      <c r="C7" s="10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15"/>
      <c r="P7" s="85" t="s">
        <v>15</v>
      </c>
      <c r="Q7" s="85" t="s">
        <v>93</v>
      </c>
      <c r="R7" s="152" t="s">
        <v>94</v>
      </c>
      <c r="S7" s="152"/>
      <c r="T7" s="152"/>
      <c r="U7" s="85" t="s">
        <v>95</v>
      </c>
      <c r="V7" s="86" t="s">
        <v>96</v>
      </c>
      <c r="X7" s="153" t="s">
        <v>96</v>
      </c>
      <c r="Y7" s="154"/>
    </row>
    <row r="8" spans="2:25" x14ac:dyDescent="0.25">
      <c r="B8" s="116" t="s">
        <v>97</v>
      </c>
      <c r="C8" s="107" t="s">
        <v>15</v>
      </c>
      <c r="D8" s="110">
        <v>0.2</v>
      </c>
      <c r="E8" s="110">
        <v>0.4</v>
      </c>
      <c r="F8" s="110">
        <v>0.15</v>
      </c>
      <c r="G8" s="110">
        <v>0.1</v>
      </c>
      <c r="H8" s="110">
        <v>0.2</v>
      </c>
      <c r="I8" s="110">
        <v>0.15</v>
      </c>
      <c r="J8" s="110">
        <v>0.2</v>
      </c>
      <c r="K8" s="110">
        <v>0.2</v>
      </c>
      <c r="L8" s="110">
        <v>0.15</v>
      </c>
      <c r="M8" s="110">
        <v>0.2</v>
      </c>
      <c r="N8" s="110">
        <v>0.3</v>
      </c>
      <c r="O8" s="117" t="s">
        <v>98</v>
      </c>
      <c r="P8" s="79"/>
      <c r="Q8" s="79"/>
      <c r="R8" s="79"/>
      <c r="S8" s="79"/>
      <c r="T8" s="79"/>
      <c r="U8" s="79"/>
      <c r="V8" s="88"/>
      <c r="X8" s="87" t="s">
        <v>99</v>
      </c>
      <c r="Y8" s="89" t="s">
        <v>100</v>
      </c>
    </row>
    <row r="9" spans="2:25" hidden="1" x14ac:dyDescent="0.25">
      <c r="B9" s="155" t="s">
        <v>101</v>
      </c>
      <c r="C9" s="108" t="s">
        <v>102</v>
      </c>
      <c r="D9" s="110">
        <v>1</v>
      </c>
      <c r="E9" s="110">
        <v>1</v>
      </c>
      <c r="F9" s="110">
        <v>0.7</v>
      </c>
      <c r="G9" s="110">
        <v>1</v>
      </c>
      <c r="H9" s="110">
        <v>1</v>
      </c>
      <c r="I9" s="110">
        <v>1</v>
      </c>
      <c r="J9" s="110">
        <v>0.65</v>
      </c>
      <c r="K9" s="110">
        <v>1</v>
      </c>
      <c r="L9" s="110">
        <v>1</v>
      </c>
      <c r="M9" s="110">
        <v>1</v>
      </c>
      <c r="N9" s="110">
        <v>1</v>
      </c>
      <c r="O9" s="117" t="s">
        <v>98</v>
      </c>
      <c r="V9" s="90"/>
      <c r="X9" s="91"/>
      <c r="Y9" s="92"/>
    </row>
    <row r="10" spans="2:25" hidden="1" x14ac:dyDescent="0.25">
      <c r="B10" s="156"/>
      <c r="C10" s="108" t="s">
        <v>103</v>
      </c>
      <c r="D10" s="110">
        <v>1</v>
      </c>
      <c r="E10" s="110">
        <v>1</v>
      </c>
      <c r="F10" s="110">
        <v>0.7</v>
      </c>
      <c r="G10" s="110">
        <v>1</v>
      </c>
      <c r="H10" s="110">
        <v>1</v>
      </c>
      <c r="I10" s="110">
        <v>1</v>
      </c>
      <c r="J10" s="110">
        <v>1</v>
      </c>
      <c r="K10" s="110">
        <v>1</v>
      </c>
      <c r="L10" s="110">
        <v>1</v>
      </c>
      <c r="M10" s="110">
        <v>1</v>
      </c>
      <c r="N10" s="110">
        <v>1</v>
      </c>
      <c r="O10" s="117" t="s">
        <v>98</v>
      </c>
      <c r="V10" s="90"/>
      <c r="X10" s="91"/>
      <c r="Y10" s="92"/>
    </row>
    <row r="11" spans="2:25" ht="14.25" thickBot="1" x14ac:dyDescent="0.3">
      <c r="B11" s="144" t="s">
        <v>104</v>
      </c>
      <c r="C11" s="145"/>
      <c r="D11" s="110">
        <v>1</v>
      </c>
      <c r="E11" s="110">
        <v>1</v>
      </c>
      <c r="F11" s="110">
        <v>0.1</v>
      </c>
      <c r="G11" s="110">
        <v>0.5</v>
      </c>
      <c r="H11" s="110">
        <v>1</v>
      </c>
      <c r="I11" s="110">
        <v>1</v>
      </c>
      <c r="J11" s="110">
        <v>0.8</v>
      </c>
      <c r="K11" s="110">
        <v>0.3</v>
      </c>
      <c r="L11" s="110">
        <v>0.2</v>
      </c>
      <c r="M11" s="110">
        <v>0.8</v>
      </c>
      <c r="N11" s="110">
        <v>0.5</v>
      </c>
      <c r="O11" s="117" t="s">
        <v>98</v>
      </c>
      <c r="P11" s="85"/>
      <c r="Q11" s="85"/>
      <c r="R11" s="85"/>
      <c r="S11" s="85"/>
      <c r="T11" s="85"/>
      <c r="U11" s="85"/>
      <c r="V11" s="86"/>
      <c r="X11" s="84"/>
      <c r="Y11" s="92"/>
    </row>
    <row r="12" spans="2:25" x14ac:dyDescent="0.25">
      <c r="B12" s="118"/>
      <c r="C12" s="106" t="s">
        <v>105</v>
      </c>
      <c r="D12" s="111">
        <v>2</v>
      </c>
      <c r="E12" s="111">
        <v>0</v>
      </c>
      <c r="F12" s="111">
        <f>9+6</f>
        <v>15</v>
      </c>
      <c r="G12" s="111">
        <v>0</v>
      </c>
      <c r="H12" s="111">
        <v>0</v>
      </c>
      <c r="I12" s="111">
        <v>0</v>
      </c>
      <c r="J12" s="111">
        <f>2*4</f>
        <v>8</v>
      </c>
      <c r="K12" s="111">
        <v>1</v>
      </c>
      <c r="L12" s="111">
        <v>6</v>
      </c>
      <c r="M12" s="111">
        <v>18</v>
      </c>
      <c r="N12" s="111">
        <v>0</v>
      </c>
      <c r="O12" s="119">
        <v>0</v>
      </c>
      <c r="P12" s="79"/>
      <c r="Q12" s="79"/>
      <c r="R12" s="72"/>
      <c r="S12" s="72"/>
      <c r="T12" s="72"/>
      <c r="U12" s="72"/>
      <c r="V12" s="93"/>
      <c r="W12" s="94"/>
      <c r="X12" s="95"/>
      <c r="Y12" s="96"/>
    </row>
    <row r="13" spans="2:25" ht="14.25" thickBot="1" x14ac:dyDescent="0.3">
      <c r="B13" s="146"/>
      <c r="C13" s="147"/>
      <c r="D13" s="120">
        <f>IF(D12=0,0,MAX(D8,D12*D11*D8))</f>
        <v>0.4</v>
      </c>
      <c r="E13" s="120">
        <f t="shared" ref="E13:O13" si="0">IF(E12=0,0,MAX(E8,E12*E11*E8))</f>
        <v>0</v>
      </c>
      <c r="F13" s="120">
        <f t="shared" si="0"/>
        <v>0.22499999999999998</v>
      </c>
      <c r="G13" s="120">
        <f t="shared" si="0"/>
        <v>0</v>
      </c>
      <c r="H13" s="120">
        <f t="shared" si="0"/>
        <v>0</v>
      </c>
      <c r="I13" s="120">
        <f t="shared" si="0"/>
        <v>0</v>
      </c>
      <c r="J13" s="120">
        <f t="shared" si="0"/>
        <v>1.2800000000000002</v>
      </c>
      <c r="K13" s="120">
        <f t="shared" si="0"/>
        <v>0.2</v>
      </c>
      <c r="L13" s="120">
        <f t="shared" si="0"/>
        <v>0.18000000000000002</v>
      </c>
      <c r="M13" s="120">
        <f t="shared" si="0"/>
        <v>2.8800000000000003</v>
      </c>
      <c r="N13" s="120">
        <f t="shared" si="0"/>
        <v>0</v>
      </c>
      <c r="O13" s="121">
        <f t="shared" si="0"/>
        <v>0</v>
      </c>
      <c r="P13" s="75">
        <f>(SUM(D13:N13))^0.5</f>
        <v>2.2726636354727026</v>
      </c>
      <c r="Q13" s="75">
        <f>P13/1000*3600</f>
        <v>8.1815890877017292</v>
      </c>
      <c r="R13" s="85">
        <v>50</v>
      </c>
      <c r="S13" s="85">
        <v>4.5999999999999996</v>
      </c>
      <c r="T13" s="85">
        <f>R13-2*S13</f>
        <v>40.799999999999997</v>
      </c>
      <c r="U13" s="85">
        <f>PI()*(T13/1000)^2/4</f>
        <v>1.3074051987179279E-3</v>
      </c>
      <c r="V13" s="97">
        <f>P13/1000/U13</f>
        <v>1.7383009014354001</v>
      </c>
      <c r="W13" s="98"/>
      <c r="X13" s="99">
        <f>0.5</f>
        <v>0.5</v>
      </c>
      <c r="Y13" s="100">
        <f>2.5</f>
        <v>2.5</v>
      </c>
    </row>
  </sheetData>
  <mergeCells count="14">
    <mergeCell ref="X5:Y5"/>
    <mergeCell ref="P4:V4"/>
    <mergeCell ref="B5:C5"/>
    <mergeCell ref="D5:O5"/>
    <mergeCell ref="P5:Q5"/>
    <mergeCell ref="R5:U5"/>
    <mergeCell ref="B11:C11"/>
    <mergeCell ref="B13:C13"/>
    <mergeCell ref="P6:Q6"/>
    <mergeCell ref="X6:Y6"/>
    <mergeCell ref="D7:N7"/>
    <mergeCell ref="R7:T7"/>
    <mergeCell ref="X7:Y7"/>
    <mergeCell ref="B9:B1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E24"/>
  <sheetViews>
    <sheetView workbookViewId="0">
      <selection activeCell="B8" sqref="B8:E24"/>
    </sheetView>
  </sheetViews>
  <sheetFormatPr defaultRowHeight="12.75" x14ac:dyDescent="0.2"/>
  <cols>
    <col min="1" max="1" width="2.42578125" style="54" customWidth="1"/>
    <col min="2" max="2" width="36.140625" style="54" customWidth="1"/>
    <col min="3" max="5" width="9.140625" style="55"/>
    <col min="6" max="6" width="2.140625" style="54" customWidth="1"/>
    <col min="7" max="16384" width="9.140625" style="54"/>
  </cols>
  <sheetData>
    <row r="7" spans="2:5" ht="13.5" thickBot="1" x14ac:dyDescent="0.25"/>
    <row r="8" spans="2:5" ht="17.25" thickBot="1" x14ac:dyDescent="0.35">
      <c r="B8" s="56" t="s">
        <v>38</v>
      </c>
      <c r="C8" s="57"/>
      <c r="D8" s="57"/>
      <c r="E8" s="58"/>
    </row>
    <row r="10" spans="2:5" ht="15.75" x14ac:dyDescent="0.3">
      <c r="B10" s="59" t="s">
        <v>41</v>
      </c>
      <c r="C10" s="60" t="s">
        <v>45</v>
      </c>
      <c r="D10" s="60" t="s">
        <v>42</v>
      </c>
      <c r="E10" s="61">
        <v>8</v>
      </c>
    </row>
    <row r="11" spans="2:5" ht="15.75" x14ac:dyDescent="0.3">
      <c r="B11" s="62" t="s">
        <v>43</v>
      </c>
      <c r="C11" s="63" t="s">
        <v>44</v>
      </c>
      <c r="D11" s="63" t="s">
        <v>42</v>
      </c>
      <c r="E11" s="64">
        <v>60</v>
      </c>
    </row>
    <row r="12" spans="2:5" ht="15" x14ac:dyDescent="0.2">
      <c r="B12" s="62" t="s">
        <v>46</v>
      </c>
      <c r="C12" s="63" t="s">
        <v>47</v>
      </c>
      <c r="D12" s="63" t="s">
        <v>48</v>
      </c>
      <c r="E12" s="64">
        <v>998</v>
      </c>
    </row>
    <row r="13" spans="2:5" ht="16.5" x14ac:dyDescent="0.3">
      <c r="B13" s="62" t="s">
        <v>21</v>
      </c>
      <c r="C13" s="63" t="s">
        <v>55</v>
      </c>
      <c r="D13" s="63" t="s">
        <v>56</v>
      </c>
      <c r="E13" s="64">
        <f>'BIL VOD'!G32</f>
        <v>1.8180000000000001</v>
      </c>
    </row>
    <row r="14" spans="2:5" x14ac:dyDescent="0.2">
      <c r="B14" s="62" t="s">
        <v>49</v>
      </c>
      <c r="C14" s="63" t="s">
        <v>50</v>
      </c>
      <c r="D14" s="63" t="s">
        <v>54</v>
      </c>
      <c r="E14" s="64">
        <v>4.18</v>
      </c>
    </row>
    <row r="15" spans="2:5" x14ac:dyDescent="0.2">
      <c r="B15" s="65" t="s">
        <v>39</v>
      </c>
      <c r="C15" s="66" t="s">
        <v>40</v>
      </c>
      <c r="D15" s="66" t="s">
        <v>12</v>
      </c>
      <c r="E15" s="67">
        <v>0.5</v>
      </c>
    </row>
    <row r="16" spans="2:5" ht="3" customHeight="1" thickBot="1" x14ac:dyDescent="0.25"/>
    <row r="17" spans="2:5" s="71" customFormat="1" ht="49.5" customHeight="1" thickBot="1" x14ac:dyDescent="0.3">
      <c r="B17" s="68" t="s">
        <v>51</v>
      </c>
      <c r="C17" s="69" t="s">
        <v>52</v>
      </c>
      <c r="D17" s="69" t="s">
        <v>53</v>
      </c>
      <c r="E17" s="70">
        <f>(1+E15)*(PRODUCT(E12:E14,E11-E10))/3600</f>
        <v>164.32089959999999</v>
      </c>
    </row>
    <row r="19" spans="2:5" ht="15.75" x14ac:dyDescent="0.3">
      <c r="B19" s="59" t="s">
        <v>57</v>
      </c>
      <c r="C19" s="60" t="s">
        <v>64</v>
      </c>
      <c r="D19" s="60" t="s">
        <v>42</v>
      </c>
      <c r="E19" s="61">
        <v>15</v>
      </c>
    </row>
    <row r="20" spans="2:5" ht="15.75" x14ac:dyDescent="0.3">
      <c r="B20" s="62" t="s">
        <v>58</v>
      </c>
      <c r="C20" s="63" t="s">
        <v>65</v>
      </c>
      <c r="D20" s="63" t="s">
        <v>42</v>
      </c>
      <c r="E20" s="64">
        <v>5</v>
      </c>
    </row>
    <row r="21" spans="2:5" x14ac:dyDescent="0.2">
      <c r="B21" s="62" t="s">
        <v>62</v>
      </c>
      <c r="C21" s="63" t="s">
        <v>63</v>
      </c>
      <c r="D21" s="63" t="s">
        <v>61</v>
      </c>
      <c r="E21" s="64">
        <v>225</v>
      </c>
    </row>
    <row r="22" spans="2:5" x14ac:dyDescent="0.2">
      <c r="B22" s="65" t="s">
        <v>59</v>
      </c>
      <c r="C22" s="66" t="s">
        <v>60</v>
      </c>
      <c r="D22" s="66" t="s">
        <v>61</v>
      </c>
      <c r="E22" s="67">
        <v>365</v>
      </c>
    </row>
    <row r="23" spans="2:5" ht="3" customHeight="1" thickBot="1" x14ac:dyDescent="0.25"/>
    <row r="24" spans="2:5" ht="46.5" customHeight="1" thickBot="1" x14ac:dyDescent="0.25">
      <c r="B24" s="68" t="s">
        <v>51</v>
      </c>
      <c r="C24" s="69" t="s">
        <v>66</v>
      </c>
      <c r="D24" s="69" t="s">
        <v>67</v>
      </c>
      <c r="E24" s="70">
        <f>(E17*E21+0.8*E17*(E11-E19)/(E11-E20)*(E22-E21))*10^-3</f>
        <v>52.029972118799996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8"/>
  <sheetViews>
    <sheetView zoomScale="85" zoomScaleNormal="85" workbookViewId="0">
      <selection activeCell="R2" sqref="R2"/>
    </sheetView>
  </sheetViews>
  <sheetFormatPr defaultRowHeight="12.75" x14ac:dyDescent="0.2"/>
  <cols>
    <col min="1" max="6" width="9.140625" style="54"/>
    <col min="7" max="7" width="12" style="54" customWidth="1"/>
    <col min="8" max="9" width="5.7109375" style="55" customWidth="1"/>
    <col min="10" max="10" width="4.140625" style="54" customWidth="1"/>
    <col min="11" max="11" width="7.85546875" style="55" customWidth="1"/>
    <col min="12" max="13" width="11.5703125" style="55" customWidth="1"/>
    <col min="14" max="15" width="5.7109375" style="55" customWidth="1"/>
    <col min="16" max="16" width="10.140625" style="55" customWidth="1"/>
    <col min="17" max="16384" width="9.140625" style="54"/>
  </cols>
  <sheetData>
    <row r="2" spans="2:17" ht="38.25" x14ac:dyDescent="0.2">
      <c r="K2" s="130" t="s">
        <v>136</v>
      </c>
      <c r="L2" s="55" t="s">
        <v>129</v>
      </c>
      <c r="M2" s="130" t="s">
        <v>135</v>
      </c>
      <c r="P2" s="55" t="s">
        <v>130</v>
      </c>
    </row>
    <row r="3" spans="2:17" x14ac:dyDescent="0.2">
      <c r="B3" s="54" t="s">
        <v>116</v>
      </c>
      <c r="D3" s="54" t="s">
        <v>117</v>
      </c>
      <c r="H3" s="55" t="s">
        <v>133</v>
      </c>
      <c r="I3" s="55" t="s">
        <v>132</v>
      </c>
      <c r="J3" s="54" t="s">
        <v>119</v>
      </c>
      <c r="K3" s="55" t="s">
        <v>124</v>
      </c>
      <c r="L3" s="55" t="s">
        <v>124</v>
      </c>
      <c r="M3" s="55" t="s">
        <v>124</v>
      </c>
      <c r="N3" s="55" t="s">
        <v>133</v>
      </c>
      <c r="O3" s="55" t="s">
        <v>132</v>
      </c>
      <c r="P3" s="55" t="s">
        <v>131</v>
      </c>
    </row>
    <row r="4" spans="2:17" x14ac:dyDescent="0.2">
      <c r="B4" s="54" t="s">
        <v>118</v>
      </c>
      <c r="D4" s="54">
        <v>11</v>
      </c>
      <c r="E4" s="54" t="s">
        <v>119</v>
      </c>
      <c r="G4" s="54" t="s">
        <v>123</v>
      </c>
      <c r="H4" s="129">
        <v>0.33333333333333331</v>
      </c>
      <c r="I4" s="129">
        <v>0.375</v>
      </c>
      <c r="J4" s="54">
        <v>0</v>
      </c>
      <c r="K4" s="55">
        <v>0</v>
      </c>
      <c r="L4" s="55">
        <f>D6</f>
        <v>894</v>
      </c>
      <c r="M4" s="131">
        <f>D$5/D$4*2</f>
        <v>330.54545454545456</v>
      </c>
      <c r="N4" s="129">
        <v>0.33333333333333331</v>
      </c>
      <c r="O4" s="129">
        <v>0.375</v>
      </c>
      <c r="P4" s="55">
        <v>0</v>
      </c>
    </row>
    <row r="5" spans="2:17" x14ac:dyDescent="0.2">
      <c r="B5" s="54" t="s">
        <v>120</v>
      </c>
      <c r="D5" s="54">
        <f>'BIL VOD'!G32*1000</f>
        <v>1818</v>
      </c>
      <c r="E5" s="54" t="s">
        <v>121</v>
      </c>
      <c r="H5" s="129">
        <v>0.375</v>
      </c>
      <c r="I5" s="129">
        <v>0.41666666666666602</v>
      </c>
      <c r="J5" s="54">
        <v>1</v>
      </c>
      <c r="K5" s="128">
        <f>D$5/J$15+K4</f>
        <v>165.27272727272728</v>
      </c>
      <c r="L5" s="128">
        <f>L4-K$5</f>
        <v>728.72727272727275</v>
      </c>
      <c r="M5" s="131">
        <f t="shared" ref="M5:M15" si="0">D$5/D$4*2</f>
        <v>330.54545454545456</v>
      </c>
      <c r="N5" s="129">
        <v>0.375</v>
      </c>
      <c r="O5" s="129">
        <v>0.41666666666666602</v>
      </c>
      <c r="P5" s="128">
        <v>0</v>
      </c>
    </row>
    <row r="6" spans="2:17" x14ac:dyDescent="0.2">
      <c r="B6" s="54" t="s">
        <v>122</v>
      </c>
      <c r="D6" s="54">
        <f>2*447</f>
        <v>894</v>
      </c>
      <c r="E6" s="54" t="s">
        <v>121</v>
      </c>
      <c r="H6" s="129">
        <v>0.41666666666666702</v>
      </c>
      <c r="I6" s="129">
        <v>0.45833333333333298</v>
      </c>
      <c r="J6" s="54">
        <v>2</v>
      </c>
      <c r="K6" s="128">
        <f t="shared" ref="K6:K15" si="1">D$5/J$15+K5</f>
        <v>330.54545454545456</v>
      </c>
      <c r="L6" s="128">
        <f>L5-D$5/J$15+D$6/2/D$7</f>
        <v>652.85454545454547</v>
      </c>
      <c r="M6" s="131">
        <f t="shared" si="0"/>
        <v>330.54545454545456</v>
      </c>
      <c r="N6" s="129">
        <v>0.41666666666666702</v>
      </c>
      <c r="O6" s="129">
        <v>0.45833333333333298</v>
      </c>
      <c r="P6" s="128">
        <f>D$8</f>
        <v>6</v>
      </c>
      <c r="Q6" s="54" t="s">
        <v>127</v>
      </c>
    </row>
    <row r="7" spans="2:17" x14ac:dyDescent="0.2">
      <c r="B7" s="54" t="s">
        <v>125</v>
      </c>
      <c r="D7" s="54">
        <v>5</v>
      </c>
      <c r="E7" s="54" t="s">
        <v>119</v>
      </c>
      <c r="H7" s="129">
        <v>0.45833333333333298</v>
      </c>
      <c r="I7" s="129">
        <v>0.5</v>
      </c>
      <c r="J7" s="54">
        <v>3</v>
      </c>
      <c r="K7" s="128">
        <f t="shared" si="1"/>
        <v>495.81818181818187</v>
      </c>
      <c r="L7" s="128">
        <f>L6-D$5/J$15+D$6/2/D$7</f>
        <v>576.9818181818182</v>
      </c>
      <c r="M7" s="131">
        <f t="shared" si="0"/>
        <v>330.54545454545456</v>
      </c>
      <c r="N7" s="129">
        <v>0.45833333333333298</v>
      </c>
      <c r="O7" s="129">
        <v>0.5</v>
      </c>
      <c r="P7" s="128">
        <f t="shared" ref="P7:P8" si="2">D$8</f>
        <v>6</v>
      </c>
    </row>
    <row r="8" spans="2:17" x14ac:dyDescent="0.2">
      <c r="B8" s="127" t="s">
        <v>137</v>
      </c>
      <c r="D8" s="54">
        <v>6</v>
      </c>
      <c r="E8" s="54" t="s">
        <v>126</v>
      </c>
      <c r="H8" s="129">
        <v>0.5</v>
      </c>
      <c r="I8" s="129">
        <v>0.54166666666666696</v>
      </c>
      <c r="J8" s="54">
        <v>4</v>
      </c>
      <c r="K8" s="128">
        <f t="shared" si="1"/>
        <v>661.09090909090912</v>
      </c>
      <c r="L8" s="128">
        <f>L7-D$5/J$15+D$6/2/D$7</f>
        <v>501.10909090909092</v>
      </c>
      <c r="M8" s="131">
        <f t="shared" si="0"/>
        <v>330.54545454545456</v>
      </c>
      <c r="N8" s="129">
        <v>0.5</v>
      </c>
      <c r="O8" s="129">
        <v>0.54166666666666696</v>
      </c>
      <c r="P8" s="128">
        <f t="shared" si="2"/>
        <v>6</v>
      </c>
    </row>
    <row r="9" spans="2:17" x14ac:dyDescent="0.2">
      <c r="H9" s="129">
        <v>0.54166666666666596</v>
      </c>
      <c r="I9" s="129">
        <v>0.58333333333333304</v>
      </c>
      <c r="J9" s="54">
        <v>5</v>
      </c>
      <c r="K9" s="128">
        <f t="shared" si="1"/>
        <v>826.36363636363637</v>
      </c>
      <c r="L9" s="128">
        <f t="shared" ref="L9" si="3">L8-D$5/J$15+D$6/2/D$7</f>
        <v>425.23636363636365</v>
      </c>
      <c r="M9" s="131">
        <f t="shared" ref="M9:M10" si="4">D$5/D$4*2</f>
        <v>330.54545454545456</v>
      </c>
      <c r="N9" s="129">
        <v>0.5</v>
      </c>
      <c r="O9" s="129">
        <v>0.54166666666666696</v>
      </c>
      <c r="P9" s="128">
        <f t="shared" ref="P9" si="5">D$8</f>
        <v>6</v>
      </c>
    </row>
    <row r="10" spans="2:17" x14ac:dyDescent="0.2">
      <c r="H10" s="129">
        <v>0.58333333333333304</v>
      </c>
      <c r="I10" s="129">
        <v>0.625</v>
      </c>
      <c r="J10" s="54">
        <v>6</v>
      </c>
      <c r="K10" s="128">
        <f t="shared" si="1"/>
        <v>991.63636363636363</v>
      </c>
      <c r="L10" s="128">
        <f>L9-D$5/J$15+D$6/D$7</f>
        <v>438.76363636363641</v>
      </c>
      <c r="M10" s="131">
        <f t="shared" si="4"/>
        <v>330.54545454545456</v>
      </c>
      <c r="N10" s="129">
        <v>0.625</v>
      </c>
      <c r="O10" s="129">
        <v>0.66666666666666696</v>
      </c>
      <c r="P10" s="128">
        <f t="shared" ref="P10:P15" si="6">D$8*2</f>
        <v>12</v>
      </c>
      <c r="Q10" s="54" t="s">
        <v>128</v>
      </c>
    </row>
    <row r="11" spans="2:17" x14ac:dyDescent="0.2">
      <c r="H11" s="129">
        <v>0.625</v>
      </c>
      <c r="I11" s="129">
        <v>0.66666666666666696</v>
      </c>
      <c r="J11" s="54">
        <v>7</v>
      </c>
      <c r="K11" s="128">
        <f t="shared" si="1"/>
        <v>1156.909090909091</v>
      </c>
      <c r="L11" s="128">
        <f>L10-D$5/J$15+D$6/D$7</f>
        <v>452.29090909090911</v>
      </c>
      <c r="M11" s="131">
        <f t="shared" ref="M11" si="7">D$5/D$4*2</f>
        <v>330.54545454545456</v>
      </c>
      <c r="N11" s="129">
        <v>0.625</v>
      </c>
      <c r="O11" s="129">
        <v>0.66666666666666696</v>
      </c>
      <c r="P11" s="128">
        <f t="shared" si="6"/>
        <v>12</v>
      </c>
    </row>
    <row r="12" spans="2:17" x14ac:dyDescent="0.2">
      <c r="H12" s="129">
        <v>0.66666666666666596</v>
      </c>
      <c r="I12" s="129">
        <v>0.70833333333333304</v>
      </c>
      <c r="J12" s="54">
        <v>8</v>
      </c>
      <c r="K12" s="128">
        <f t="shared" si="1"/>
        <v>1322.1818181818182</v>
      </c>
      <c r="L12" s="128">
        <f t="shared" ref="L12:L14" si="8">L11-D$5/J$15+D$6/D$7</f>
        <v>465.81818181818181</v>
      </c>
      <c r="M12" s="131">
        <f t="shared" si="0"/>
        <v>330.54545454545456</v>
      </c>
      <c r="N12" s="129">
        <v>0.66666666666666596</v>
      </c>
      <c r="O12" s="129">
        <v>0.70833333333333304</v>
      </c>
      <c r="P12" s="128">
        <f t="shared" si="6"/>
        <v>12</v>
      </c>
    </row>
    <row r="13" spans="2:17" x14ac:dyDescent="0.2">
      <c r="H13" s="129">
        <v>0.70833333333333304</v>
      </c>
      <c r="I13" s="129">
        <v>0.75</v>
      </c>
      <c r="J13" s="54">
        <v>9</v>
      </c>
      <c r="K13" s="128">
        <f t="shared" si="1"/>
        <v>1487.4545454545455</v>
      </c>
      <c r="L13" s="128">
        <f t="shared" si="8"/>
        <v>479.34545454545452</v>
      </c>
      <c r="M13" s="131">
        <f t="shared" si="0"/>
        <v>330.54545454545456</v>
      </c>
      <c r="N13" s="129">
        <v>0.70833333333333304</v>
      </c>
      <c r="O13" s="129">
        <v>0.75</v>
      </c>
      <c r="P13" s="128">
        <f t="shared" si="6"/>
        <v>12</v>
      </c>
    </row>
    <row r="14" spans="2:17" x14ac:dyDescent="0.2">
      <c r="H14" s="129">
        <v>0.75</v>
      </c>
      <c r="I14" s="129">
        <v>0.79166666666666663</v>
      </c>
      <c r="J14" s="54">
        <v>10</v>
      </c>
      <c r="K14" s="128">
        <f t="shared" si="1"/>
        <v>1652.7272727272727</v>
      </c>
      <c r="L14" s="128">
        <f t="shared" si="8"/>
        <v>492.87272727272722</v>
      </c>
      <c r="M14" s="131">
        <f t="shared" si="0"/>
        <v>330.54545454545456</v>
      </c>
      <c r="N14" s="129">
        <v>0.75</v>
      </c>
      <c r="O14" s="129">
        <v>0.79166666666666663</v>
      </c>
      <c r="P14" s="128">
        <f t="shared" si="6"/>
        <v>12</v>
      </c>
    </row>
    <row r="15" spans="2:17" ht="14.25" customHeight="1" x14ac:dyDescent="0.2">
      <c r="H15" s="129">
        <v>0.79166666666666696</v>
      </c>
      <c r="I15" s="129">
        <v>0.83333333333333337</v>
      </c>
      <c r="J15" s="54">
        <v>11</v>
      </c>
      <c r="K15" s="128">
        <f t="shared" si="1"/>
        <v>1818</v>
      </c>
      <c r="L15" s="128">
        <f>L14-D$5/J$15+D$6/D$7</f>
        <v>506.39999999999992</v>
      </c>
      <c r="M15" s="131">
        <f t="shared" si="0"/>
        <v>330.54545454545456</v>
      </c>
      <c r="N15" s="129">
        <v>0.79166666666666696</v>
      </c>
      <c r="O15" s="129">
        <v>0.83333333333333337</v>
      </c>
      <c r="P15" s="128">
        <f t="shared" si="6"/>
        <v>12</v>
      </c>
    </row>
    <row r="16" spans="2:17" ht="14.25" customHeight="1" x14ac:dyDescent="0.2">
      <c r="H16" s="129">
        <v>0.83333333333333404</v>
      </c>
      <c r="I16" s="129">
        <v>0.875</v>
      </c>
      <c r="J16" s="54">
        <v>12</v>
      </c>
      <c r="K16" s="128">
        <v>0</v>
      </c>
      <c r="L16" s="128">
        <f>L15+D$6/D$7</f>
        <v>685.19999999999993</v>
      </c>
      <c r="M16" s="128">
        <v>0</v>
      </c>
      <c r="N16" s="129">
        <v>0.83333333333333404</v>
      </c>
      <c r="O16" s="129">
        <v>0.875</v>
      </c>
      <c r="P16" s="128">
        <f t="shared" ref="P16" si="9">D$8*2</f>
        <v>12</v>
      </c>
    </row>
    <row r="17" spans="8:17" s="71" customFormat="1" ht="14.25" customHeight="1" x14ac:dyDescent="0.2">
      <c r="H17" s="129">
        <v>0.875000000000001</v>
      </c>
      <c r="I17" s="129">
        <v>0.91666666666666696</v>
      </c>
      <c r="J17" s="54">
        <v>13</v>
      </c>
      <c r="K17" s="128">
        <v>0</v>
      </c>
      <c r="L17" s="128">
        <f t="shared" ref="L17:L18" si="10">L16+D$6/D$7</f>
        <v>864</v>
      </c>
      <c r="M17" s="128">
        <v>0</v>
      </c>
      <c r="N17" s="129">
        <v>0.875000000000001</v>
      </c>
      <c r="O17" s="129">
        <v>0.91666666666666696</v>
      </c>
      <c r="P17" s="128">
        <f>D$8*2</f>
        <v>12</v>
      </c>
    </row>
    <row r="18" spans="8:17" ht="14.25" customHeight="1" x14ac:dyDescent="0.2">
      <c r="H18" s="129">
        <v>0.91666666666666796</v>
      </c>
      <c r="I18" s="129">
        <v>0.95833333333333404</v>
      </c>
      <c r="J18" s="54">
        <v>14</v>
      </c>
      <c r="K18" s="128">
        <v>0</v>
      </c>
      <c r="L18" s="128">
        <f t="shared" si="10"/>
        <v>1042.8</v>
      </c>
      <c r="M18" s="128">
        <v>0</v>
      </c>
      <c r="N18" s="129">
        <v>0.91666666666666796</v>
      </c>
      <c r="O18" s="129">
        <v>0.95833333333333404</v>
      </c>
      <c r="P18" s="128">
        <f>D$8*2</f>
        <v>12</v>
      </c>
    </row>
    <row r="19" spans="8:17" ht="14.25" customHeight="1" x14ac:dyDescent="0.2">
      <c r="H19" s="129">
        <v>0.95833333333333504</v>
      </c>
      <c r="I19" s="129">
        <v>1</v>
      </c>
      <c r="J19" s="54">
        <v>15</v>
      </c>
      <c r="K19" s="128">
        <v>0</v>
      </c>
      <c r="L19" s="128">
        <f>MIN(L18+D$6/D$7,1000)</f>
        <v>1000</v>
      </c>
      <c r="M19" s="128">
        <v>0</v>
      </c>
      <c r="N19" s="129">
        <v>0.95833333333333504</v>
      </c>
      <c r="O19" s="129">
        <v>1</v>
      </c>
      <c r="P19" s="128">
        <f>D$8*2</f>
        <v>12</v>
      </c>
    </row>
    <row r="20" spans="8:17" ht="14.25" customHeight="1" x14ac:dyDescent="0.2">
      <c r="H20" s="129">
        <v>1</v>
      </c>
      <c r="I20" s="129">
        <v>1.0416666666666701</v>
      </c>
      <c r="J20" s="54">
        <v>16</v>
      </c>
      <c r="K20" s="128">
        <v>0</v>
      </c>
      <c r="L20" s="128">
        <f t="shared" ref="L20:L27" si="11">MIN(L19+D$6/D$7,1000)</f>
        <v>1000</v>
      </c>
      <c r="M20" s="128">
        <v>0</v>
      </c>
      <c r="N20" s="129">
        <v>1</v>
      </c>
      <c r="O20" s="129">
        <v>1.0416666666666701</v>
      </c>
      <c r="P20" s="128">
        <v>0</v>
      </c>
      <c r="Q20" s="54" t="s">
        <v>134</v>
      </c>
    </row>
    <row r="21" spans="8:17" ht="14.25" customHeight="1" x14ac:dyDescent="0.2">
      <c r="H21" s="129">
        <v>1.0416666666666701</v>
      </c>
      <c r="I21" s="129">
        <v>1.0833333333333299</v>
      </c>
      <c r="J21" s="54">
        <v>17</v>
      </c>
      <c r="K21" s="128">
        <v>0</v>
      </c>
      <c r="L21" s="128">
        <f t="shared" si="11"/>
        <v>1000</v>
      </c>
      <c r="M21" s="128">
        <v>0</v>
      </c>
      <c r="N21" s="129">
        <v>1.0416666666666701</v>
      </c>
      <c r="O21" s="129">
        <v>1.0833333333333299</v>
      </c>
      <c r="P21" s="128">
        <v>0</v>
      </c>
    </row>
    <row r="22" spans="8:17" ht="14.25" customHeight="1" x14ac:dyDescent="0.2">
      <c r="H22" s="129">
        <v>1.0833333333333399</v>
      </c>
      <c r="I22" s="129">
        <v>1.125</v>
      </c>
      <c r="J22" s="54">
        <v>18</v>
      </c>
      <c r="K22" s="128">
        <v>0</v>
      </c>
      <c r="L22" s="128">
        <f t="shared" si="11"/>
        <v>1000</v>
      </c>
      <c r="M22" s="128">
        <v>0</v>
      </c>
      <c r="N22" s="129">
        <v>1.0833333333333399</v>
      </c>
      <c r="O22" s="129">
        <v>1.125</v>
      </c>
      <c r="P22" s="128">
        <v>0</v>
      </c>
    </row>
    <row r="23" spans="8:17" ht="14.25" customHeight="1" x14ac:dyDescent="0.2">
      <c r="H23" s="129">
        <v>1.125</v>
      </c>
      <c r="I23" s="129">
        <v>1.1666666666666601</v>
      </c>
      <c r="J23" s="54">
        <v>19</v>
      </c>
      <c r="K23" s="128">
        <v>0</v>
      </c>
      <c r="L23" s="128">
        <f t="shared" si="11"/>
        <v>1000</v>
      </c>
      <c r="M23" s="128">
        <v>0</v>
      </c>
      <c r="N23" s="129">
        <v>1.125</v>
      </c>
      <c r="O23" s="129">
        <v>1.1666666666666601</v>
      </c>
      <c r="P23" s="128">
        <v>0</v>
      </c>
    </row>
    <row r="24" spans="8:17" ht="14.25" customHeight="1" x14ac:dyDescent="0.2">
      <c r="H24" s="129">
        <v>1.1666666666666701</v>
      </c>
      <c r="I24" s="129">
        <v>1.2083333333333299</v>
      </c>
      <c r="J24" s="54">
        <v>20</v>
      </c>
      <c r="K24" s="128">
        <v>0</v>
      </c>
      <c r="L24" s="128">
        <f t="shared" si="11"/>
        <v>1000</v>
      </c>
      <c r="M24" s="128">
        <v>0</v>
      </c>
      <c r="N24" s="129">
        <v>1.1666666666666701</v>
      </c>
      <c r="O24" s="129">
        <v>1.2083333333333299</v>
      </c>
      <c r="P24" s="128">
        <v>0</v>
      </c>
    </row>
    <row r="25" spans="8:17" ht="14.25" customHeight="1" x14ac:dyDescent="0.2">
      <c r="H25" s="129">
        <v>1.2083333333333399</v>
      </c>
      <c r="I25" s="129">
        <v>1.25</v>
      </c>
      <c r="J25" s="54">
        <v>21</v>
      </c>
      <c r="K25" s="128">
        <v>0</v>
      </c>
      <c r="L25" s="128">
        <f t="shared" si="11"/>
        <v>1000</v>
      </c>
      <c r="M25" s="128">
        <v>0</v>
      </c>
      <c r="N25" s="129">
        <v>1.2083333333333399</v>
      </c>
      <c r="O25" s="129">
        <v>1.25</v>
      </c>
      <c r="P25" s="128">
        <v>0</v>
      </c>
    </row>
    <row r="26" spans="8:17" ht="14.25" customHeight="1" x14ac:dyDescent="0.2">
      <c r="H26" s="129">
        <v>1.25</v>
      </c>
      <c r="I26" s="129">
        <v>1.2916666666666601</v>
      </c>
      <c r="J26" s="54">
        <v>22</v>
      </c>
      <c r="K26" s="55">
        <v>0</v>
      </c>
      <c r="L26" s="128">
        <f t="shared" si="11"/>
        <v>1000</v>
      </c>
      <c r="M26" s="128">
        <v>0</v>
      </c>
      <c r="N26" s="129">
        <v>1.25</v>
      </c>
      <c r="O26" s="129">
        <v>1.2916666666666601</v>
      </c>
      <c r="P26" s="55">
        <v>0</v>
      </c>
    </row>
    <row r="27" spans="8:17" ht="14.25" customHeight="1" x14ac:dyDescent="0.2">
      <c r="H27" s="129">
        <v>1.2916666666666701</v>
      </c>
      <c r="I27" s="129">
        <v>1.3333333333333299</v>
      </c>
      <c r="J27" s="54">
        <v>23</v>
      </c>
      <c r="K27" s="55">
        <v>0</v>
      </c>
      <c r="L27" s="128">
        <f t="shared" si="11"/>
        <v>1000</v>
      </c>
      <c r="M27" s="128">
        <v>0</v>
      </c>
      <c r="N27" s="129">
        <v>1.2916666666666701</v>
      </c>
      <c r="O27" s="129">
        <v>1.3333333333333299</v>
      </c>
      <c r="P27" s="55">
        <v>0</v>
      </c>
    </row>
    <row r="28" spans="8:17" ht="14.25" customHeight="1" x14ac:dyDescent="0.2"/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SVODY</vt:lpstr>
      <vt:lpstr>deš</vt:lpstr>
      <vt:lpstr>BIL VOD</vt:lpstr>
      <vt:lpstr>DES_SVODY</vt:lpstr>
      <vt:lpstr>POSUDEK PŘÍPOJKY</vt:lpstr>
      <vt:lpstr>Potřeba tepla</vt:lpstr>
      <vt:lpstr>akumulace 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2018-06-10T16:01:52Z</dcterms:modified>
</cp:coreProperties>
</file>